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9465" tabRatio="912" activeTab="0"/>
  </bookViews>
  <sheets>
    <sheet name=" INDEX" sheetId="1" r:id="rId1"/>
    <sheet name="Exposure Change" sheetId="2" r:id="rId2"/>
    <sheet name="Part Alignment" sheetId="3" r:id="rId3"/>
    <sheet name="Pipe or Tube" sheetId="4" r:id="rId4"/>
    <sheet name="HVL &amp; TVL" sheetId="5" r:id="rId5"/>
    <sheet name="UG &amp; Enlarge" sheetId="6" r:id="rId6"/>
    <sheet name="Collimator" sheetId="7" r:id="rId7"/>
    <sheet name="Parallax Views" sheetId="8" r:id="rId8"/>
    <sheet name="IQI INFO" sheetId="9" r:id="rId9"/>
    <sheet name="Trigonometry" sheetId="10" r:id="rId10"/>
    <sheet name="Source RT" sheetId="11" r:id="rId11"/>
    <sheet name="MISC" sheetId="12" r:id="rId12"/>
  </sheets>
  <definedNames/>
  <calcPr fullCalcOnLoad="1"/>
</workbook>
</file>

<file path=xl/sharedStrings.xml><?xml version="1.0" encoding="utf-8"?>
<sst xmlns="http://schemas.openxmlformats.org/spreadsheetml/2006/main" count="488" uniqueCount="307">
  <si>
    <t>Part Thick + Offset</t>
  </si>
  <si>
    <t>Updated 8/21/00 by Derrill Rikard</t>
  </si>
  <si>
    <t>Radiation Output from COBALT</t>
  </si>
  <si>
    <t>Radiation Output from Iridium</t>
  </si>
  <si>
    <t>INVERSE SQUARE LAW</t>
  </si>
  <si>
    <t>INCHES Min. SFD</t>
  </si>
  <si>
    <t>Distance to the New Location</t>
  </si>
  <si>
    <t>Measured Gap</t>
  </si>
  <si>
    <t>LINEAR ATTENUATION COEFFICIENT</t>
  </si>
  <si>
    <t>AREAL DENSITY</t>
  </si>
  <si>
    <t>RADIATION REDUCTION FACTOR</t>
  </si>
  <si>
    <t>HALF-VALUE LAYER / NARROW BEAM</t>
  </si>
  <si>
    <t>TENTH-VALUE LAYER / NARROW BEAM</t>
  </si>
  <si>
    <t>( All Film Densities must meet the CODE or SPECIFICATION)</t>
  </si>
  <si>
    <t>MIN.   Film Density</t>
  </si>
  <si>
    <t>FILM DENSITY through the PENETRAMETER BODY &amp; SHIM</t>
  </si>
  <si>
    <t xml:space="preserve">MAXIMUM Film Density </t>
  </si>
  <si>
    <t>THROUGH THE WELD'S AREA OF INTEREST</t>
  </si>
  <si>
    <t>Micrometer</t>
  </si>
  <si>
    <t>Correction</t>
  </si>
  <si>
    <t>Max. Gap Measurement</t>
  </si>
  <si>
    <t>Cobalt Source Strength</t>
  </si>
  <si>
    <t>Iridium Source Strength</t>
  </si>
  <si>
    <t>Trigonometry</t>
  </si>
  <si>
    <t xml:space="preserve">Approximate COBALT-60 Exposure Time in Minutes </t>
  </si>
  <si>
    <t xml:space="preserve">Approximate IRIDIUM-192 Exposure Time in Minutes </t>
  </si>
  <si>
    <t>Distance to Move Part</t>
  </si>
  <si>
    <t>Source to Object in IN.</t>
  </si>
  <si>
    <t>SINE of ANGLE</t>
  </si>
  <si>
    <t xml:space="preserve"> Angle A Degrees</t>
  </si>
  <si>
    <t>Side Opposite A</t>
  </si>
  <si>
    <t>Hypotenuse</t>
  </si>
  <si>
    <t>TANGENT of ANGLE</t>
  </si>
  <si>
    <t>Side Adjacent A</t>
  </si>
  <si>
    <t xml:space="preserve">            A</t>
  </si>
  <si>
    <t>COSINE of ANGLE</t>
  </si>
  <si>
    <t>Side B</t>
  </si>
  <si>
    <t>Part Diameter-INCHES</t>
  </si>
  <si>
    <t>ALUMINUM 1/2</t>
  </si>
  <si>
    <t>ALUMINUM 1/10</t>
  </si>
  <si>
    <t>LEAD 1/2</t>
  </si>
  <si>
    <t>TYPICAL HALF-VALUE and TENTH-VALUE LAYERS in INCHES for COMMON ENERGIES</t>
  </si>
  <si>
    <t>STEEL 1/2</t>
  </si>
  <si>
    <t>MINIMUM &amp; MAXIMUM FILM DENSITY for 1 PENETRAMETER</t>
  </si>
  <si>
    <t xml:space="preserve">Waist Weld Alignment Using Micrometer Fixture </t>
  </si>
  <si>
    <t>Alignment by Moving Source or Part</t>
  </si>
  <si>
    <t>TRIGONOMETRIC RATIOS on RIGHT TRIANGLES</t>
  </si>
  <si>
    <t>LAW of COSINES</t>
  </si>
  <si>
    <t>TRIGONOMETRY / LAW of SINES</t>
  </si>
  <si>
    <t>CHORD LENGTH ON A CIRCLE</t>
  </si>
  <si>
    <t>RADIOGRAPHIC EQUIVALENCE FACTORS</t>
  </si>
  <si>
    <t>Flaw Position Shift</t>
  </si>
  <si>
    <t>Part Thickness</t>
  </si>
  <si>
    <t>Front Marker Shift</t>
  </si>
  <si>
    <t>Back Marker Shift</t>
  </si>
  <si>
    <t xml:space="preserve">Defect Location from Front Surface using SOD and Front Marker Shift. </t>
  </si>
  <si>
    <t>FRONT FACE to Flaw</t>
  </si>
  <si>
    <t>Source to OBJECT</t>
  </si>
  <si>
    <t>Part Alignment</t>
  </si>
  <si>
    <t>Waist Alignment by Tilting the Part</t>
  </si>
  <si>
    <t>Degrees to Tilt the  Part</t>
  </si>
  <si>
    <t>Measured Gap (Misalignment)</t>
  </si>
  <si>
    <t>NEW TIME/MAS</t>
  </si>
  <si>
    <t>OLD TIME or MAS</t>
  </si>
  <si>
    <t>OLD DISTANCE</t>
  </si>
  <si>
    <t>NEW DISTANCE</t>
  </si>
  <si>
    <t>OLD KILOVOLTAGE</t>
  </si>
  <si>
    <t>Higher Kilovoltage</t>
  </si>
  <si>
    <t>DIAMETER of Circle</t>
  </si>
  <si>
    <t xml:space="preserve">    B</t>
  </si>
  <si>
    <t>Density of Fe or ??</t>
  </si>
  <si>
    <t>Linear Attenuation of</t>
  </si>
  <si>
    <t xml:space="preserve"> Source-Film-Distance</t>
  </si>
  <si>
    <t xml:space="preserve">Part Thickness + Offset </t>
  </si>
  <si>
    <t>Focal Spot Size in MM</t>
  </si>
  <si>
    <t>Lower Kilovoltage</t>
  </si>
  <si>
    <t xml:space="preserve"> TIME or MAS @ Lower kV </t>
  </si>
  <si>
    <t>for a 2.0HD on 5pb/Dupont 55/10pb Film Load.</t>
  </si>
  <si>
    <t>mR/Hr.</t>
  </si>
  <si>
    <t>IQI INFO - Penetrameters</t>
  </si>
  <si>
    <t xml:space="preserve">MISC. </t>
  </si>
  <si>
    <t xml:space="preserve"> INDEX</t>
  </si>
  <si>
    <t>TO FIND VALUE IN LEFT COLUMN, TYPE IN THE VALUES WITHIN THE BOXES ON THE RIGHT.</t>
  </si>
  <si>
    <t>Updated 2/25/99 by Derrill Rikard</t>
  </si>
  <si>
    <t>INTENSITY 1</t>
  </si>
  <si>
    <t>Old Velocity In./Min.</t>
  </si>
  <si>
    <t>EPS in percent</t>
  </si>
  <si>
    <t>IQI Thickness in Inches</t>
  </si>
  <si>
    <t>Hole Diam. in Inches</t>
  </si>
  <si>
    <t>Distance to Move</t>
  </si>
  <si>
    <t>the Source or Part</t>
  </si>
  <si>
    <t>Source to Object Distance</t>
  </si>
  <si>
    <t>Wire Diameter</t>
  </si>
  <si>
    <t>Equivalent</t>
  </si>
  <si>
    <t>Plaque Thickness in Inches</t>
  </si>
  <si>
    <t>Per Cent 4</t>
  </si>
  <si>
    <t>DENSITY OF MATERIAL in GM/CC</t>
  </si>
  <si>
    <t>Motion Unsharpness</t>
  </si>
  <si>
    <t>Material Thickness</t>
  </si>
  <si>
    <t>Width of Beam</t>
  </si>
  <si>
    <t>Matl Thickness at the Center of the Wall - Location C</t>
  </si>
  <si>
    <t>Updated 2/17/00 by Derrill Rikard</t>
  </si>
  <si>
    <t>Original Intensity</t>
  </si>
  <si>
    <t xml:space="preserve"> Linear Atten.in1/CM</t>
  </si>
  <si>
    <t>Thickness in CM</t>
  </si>
  <si>
    <t>Linear Atten. in 1/CM</t>
  </si>
  <si>
    <t>Mass Absorption Coef.</t>
  </si>
  <si>
    <t>To determine Material Thickness at other locations,</t>
  </si>
  <si>
    <t>NOTE:</t>
  </si>
  <si>
    <t>To determine thickness of a wall thickness on a tube or pipe,</t>
  </si>
  <si>
    <t>Subtract the ID chord length from the OD chord length.</t>
  </si>
  <si>
    <t>Lin.Atten Coeff 1/cm</t>
  </si>
  <si>
    <t>Mass Atten Coef.1</t>
  </si>
  <si>
    <t>Mass Atten Coef.2</t>
  </si>
  <si>
    <t>Updated 11/15/00 by Derrill Rikard</t>
  </si>
  <si>
    <t>Thickness of Material</t>
  </si>
  <si>
    <t>Method Listed Below</t>
  </si>
  <si>
    <t>Density Only</t>
  </si>
  <si>
    <t>Linear Attenuation Only</t>
  </si>
  <si>
    <t>Both Density &amp; Linear Attenuation</t>
  </si>
  <si>
    <t>Updated 11/18/99 by Derrill Rikard</t>
  </si>
  <si>
    <t>Go to the bottom of the Trigonometry Page.</t>
  </si>
  <si>
    <t>Present Date</t>
  </si>
  <si>
    <t>for a 2.0HD on 10pb/Dupont 55/10pb Film Load.</t>
  </si>
  <si>
    <t>Time in Min.</t>
  </si>
  <si>
    <t>Curies</t>
  </si>
  <si>
    <t>Distance in Inches</t>
  </si>
  <si>
    <t>Steel Thickness in Inches</t>
  </si>
  <si>
    <t>IRIDIUM</t>
  </si>
  <si>
    <t>Angle b</t>
  </si>
  <si>
    <t>a</t>
  </si>
  <si>
    <t>c</t>
  </si>
  <si>
    <t>B</t>
  </si>
  <si>
    <t xml:space="preserve">    A</t>
  </si>
  <si>
    <t>COLLIMATOR LOCATION</t>
  </si>
  <si>
    <t>ADJUSTMENT for COLLIMATOR LOCATION</t>
  </si>
  <si>
    <t>PIN HOLE METHOD For FOCAL SPOT SIZE</t>
  </si>
  <si>
    <t>Film DENSITY vs. TIME or MAS</t>
  </si>
  <si>
    <t>TIME or MAS vs DISTANCE</t>
  </si>
  <si>
    <t>TIME or MAS vs KILOVOLTAGE CHANGE</t>
  </si>
  <si>
    <t>Area of a Circle</t>
  </si>
  <si>
    <t>Area (Sq. Inches)</t>
  </si>
  <si>
    <t>Circle Diameter (Inches)</t>
  </si>
  <si>
    <t xml:space="preserve"> Pin Hole Set at 1/2 the SFD</t>
  </si>
  <si>
    <t>Focal Spot in IN.</t>
  </si>
  <si>
    <t>Diam.of Hole Image</t>
  </si>
  <si>
    <t>Actual Hole Diam.</t>
  </si>
  <si>
    <t xml:space="preserve">Double Exposure made on ONE film which has been Shifted between Exposures. </t>
  </si>
  <si>
    <t>RIGID FORMULA</t>
  </si>
  <si>
    <t>Flaw Above Film</t>
  </si>
  <si>
    <t>Flaw position change</t>
  </si>
  <si>
    <t>Material Thickness on a Pipe or Tube</t>
  </si>
  <si>
    <t xml:space="preserve"> the Tube or Pipe</t>
  </si>
  <si>
    <t>Equivalent Wire Diameter to Produce the Same EPS as the Hole Type Penetrameter from above.</t>
  </si>
  <si>
    <t>Equivalent Wire Diameter to Produce the Same EPS as the Hole Type Penetrameter from above</t>
  </si>
  <si>
    <t>Measured Part Diameter</t>
  </si>
  <si>
    <t>Actual Part Diameter</t>
  </si>
  <si>
    <t>use the following calculation to determine where to mark the new position on the front side of the part.</t>
  </si>
  <si>
    <t>TIME or MAS @ Higher kV</t>
  </si>
  <si>
    <t>Source Strength-Ci.</t>
  </si>
  <si>
    <t>Distance in FEET</t>
  </si>
  <si>
    <t>DISTANCE in FEET</t>
  </si>
  <si>
    <t>Source Strength-Ci</t>
  </si>
  <si>
    <t>INTENSITY 2</t>
  </si>
  <si>
    <t>Intensity 1</t>
  </si>
  <si>
    <t>Distance 1</t>
  </si>
  <si>
    <t>Distance 2</t>
  </si>
  <si>
    <t>DISTANCE 2</t>
  </si>
  <si>
    <t>Intensity 2</t>
  </si>
  <si>
    <t>Energy</t>
  </si>
  <si>
    <t>400 / Ir192</t>
  </si>
  <si>
    <t>4 MeV</t>
  </si>
  <si>
    <t>2 MeV / Co60</t>
  </si>
  <si>
    <t>9 MeV</t>
  </si>
  <si>
    <t>250 kV</t>
  </si>
  <si>
    <t>120 kV</t>
  </si>
  <si>
    <t>150 kV</t>
  </si>
  <si>
    <t>Distance2</t>
  </si>
  <si>
    <t>DISTANCE 1</t>
  </si>
  <si>
    <t>Second Intensity</t>
  </si>
  <si>
    <t>Mass Atten 3</t>
  </si>
  <si>
    <t>Mass Atten 4</t>
  </si>
  <si>
    <t>Per Cent 1</t>
  </si>
  <si>
    <t>Per Cent 2</t>
  </si>
  <si>
    <t>Per Cent 3</t>
  </si>
  <si>
    <t>Micr.to Leveling AXIS</t>
  </si>
  <si>
    <t>200 kV</t>
  </si>
  <si>
    <t>Alignment When Center Area is Blocked by Tilting the Part</t>
  </si>
  <si>
    <t>Alignment When Center Area is Blocked by Moving the Source or Part</t>
  </si>
  <si>
    <t>(Misalignment)</t>
  </si>
  <si>
    <t xml:space="preserve">Measure Gap </t>
  </si>
  <si>
    <t>Side C Length</t>
  </si>
  <si>
    <t>Side A Length</t>
  </si>
  <si>
    <t>Angle Between Sides</t>
  </si>
  <si>
    <t>Side B Length</t>
  </si>
  <si>
    <t>Side C</t>
  </si>
  <si>
    <t>Side A</t>
  </si>
  <si>
    <t xml:space="preserve"> Angle a</t>
  </si>
  <si>
    <t xml:space="preserve"> Angle b</t>
  </si>
  <si>
    <t>b</t>
  </si>
  <si>
    <t>C</t>
  </si>
  <si>
    <t>A</t>
  </si>
  <si>
    <t>STEEL 1/10</t>
  </si>
  <si>
    <t>Physical Density CC</t>
  </si>
  <si>
    <t>AREAL DENSITY mg/cm2</t>
  </si>
  <si>
    <t>Physical Density Mg/CC</t>
  </si>
  <si>
    <t>AREAL DENSITY mg/cm-2</t>
  </si>
  <si>
    <t xml:space="preserve">Equal to this Thickness </t>
  </si>
  <si>
    <t xml:space="preserve">of Fe or ?? Matl. by </t>
  </si>
  <si>
    <t>&lt;&lt;&lt; In this Calculation, Angle c is 90°</t>
  </si>
  <si>
    <r>
      <t xml:space="preserve">      </t>
    </r>
    <r>
      <rPr>
        <sz val="10"/>
        <color indexed="10"/>
        <rFont val="Geneva"/>
        <family val="0"/>
      </rPr>
      <t xml:space="preserve">So Angles  a + </t>
    </r>
    <r>
      <rPr>
        <sz val="10"/>
        <color indexed="12"/>
        <rFont val="Geneva"/>
        <family val="0"/>
      </rPr>
      <t xml:space="preserve">b </t>
    </r>
    <r>
      <rPr>
        <sz val="10"/>
        <color indexed="10"/>
        <rFont val="Geneva"/>
        <family val="0"/>
      </rPr>
      <t>Must equal 90°</t>
    </r>
  </si>
  <si>
    <t>LEAD 1/10</t>
  </si>
  <si>
    <t xml:space="preserve">Distance from Part Edge </t>
  </si>
  <si>
    <t>to Measurement Location</t>
  </si>
  <si>
    <t>Degrees to Tilt the Part</t>
  </si>
  <si>
    <t>Chord Length</t>
  </si>
  <si>
    <t>Linear Attenuation Coefficient for Mixture</t>
  </si>
  <si>
    <t>IN-MOTION RADIOGRAPHY</t>
  </si>
  <si>
    <t>Film DENSITY vs. VELOCITY</t>
  </si>
  <si>
    <t>Equivalent Penetrameter Sensitivity (Hole Type Penetrameter)</t>
  </si>
  <si>
    <t>Volume of a Sphere</t>
  </si>
  <si>
    <t xml:space="preserve">COBALT </t>
  </si>
  <si>
    <t>Original Activity</t>
  </si>
  <si>
    <t>ON CAL.DATE</t>
  </si>
  <si>
    <t>NEW time or MAS</t>
  </si>
  <si>
    <t>Film DENSITY Wanted</t>
  </si>
  <si>
    <t>First Film DENSITY</t>
  </si>
  <si>
    <t>Old Time or MAS</t>
  </si>
  <si>
    <t>Exposure Change</t>
  </si>
  <si>
    <t xml:space="preserve">HVL &amp; TVL </t>
  </si>
  <si>
    <t>Collimator</t>
  </si>
  <si>
    <t>CHORD LENGTH</t>
  </si>
  <si>
    <t>Distance From Outside Edge To The CHORD</t>
  </si>
  <si>
    <t>Image on Film</t>
  </si>
  <si>
    <t>Source to Part Distance</t>
  </si>
  <si>
    <t>Beam Width</t>
  </si>
  <si>
    <t>Velocity</t>
  </si>
  <si>
    <t>Time for Single Exposure</t>
  </si>
  <si>
    <t>Exp.TIME Min.</t>
  </si>
  <si>
    <t>Travel Distance</t>
  </si>
  <si>
    <t>Exp.Time Hrs.</t>
  </si>
  <si>
    <t>NEW Velocity In/Min</t>
  </si>
  <si>
    <t xml:space="preserve">   OLD FILM to</t>
  </si>
  <si>
    <t>OLD</t>
  </si>
  <si>
    <t>COLLIMATOR DISTANCE</t>
  </si>
  <si>
    <t>WANTED</t>
  </si>
  <si>
    <t>Density of Material</t>
  </si>
  <si>
    <t xml:space="preserve">Linear Attenuation of </t>
  </si>
  <si>
    <t xml:space="preserve">   in grams / cm^3</t>
  </si>
  <si>
    <t xml:space="preserve">    Fe or ?? in 1/cm</t>
  </si>
  <si>
    <t>Material in grams / cm</t>
  </si>
  <si>
    <t>PARALLAX VIEWS or DEFECT LOCATION</t>
  </si>
  <si>
    <t>Flaw Above Back Marker</t>
  </si>
  <si>
    <t>UG &amp; Enlarge</t>
  </si>
  <si>
    <t>Outside Diameter of</t>
  </si>
  <si>
    <t>Single Wall Thickness of Pipe or Tube</t>
  </si>
  <si>
    <t xml:space="preserve">Double Marker Estimated Method - 2 markers are used and SFD and Tube Shift are Not Known. </t>
  </si>
  <si>
    <t>Updated 3/24/99 by Derrill Rikard</t>
  </si>
  <si>
    <t>RADIATION INTENSITY</t>
  </si>
  <si>
    <t>Updated 3/2/99 by Derrill Rikard</t>
  </si>
  <si>
    <t>Source to Film Dist.</t>
  </si>
  <si>
    <t>Tube Shift</t>
  </si>
  <si>
    <t>Matl Thickness at Location A - Double Wall Thickness</t>
  </si>
  <si>
    <t>Maximum Matl Thickness at Location B</t>
  </si>
  <si>
    <t xml:space="preserve">Pipe or Tube </t>
  </si>
  <si>
    <t>from:  ASTM E-747</t>
  </si>
  <si>
    <t>from:  ASTM E-1025</t>
  </si>
  <si>
    <t>Reduction Factor</t>
  </si>
  <si>
    <t>Dose Rate Wanted</t>
  </si>
  <si>
    <t>Initial Dose Rate</t>
  </si>
  <si>
    <t>HVL in CM</t>
  </si>
  <si>
    <t>Linear Atten.in 1/CM</t>
  </si>
  <si>
    <t>HVL in INCHES</t>
  </si>
  <si>
    <t>TVL in CM</t>
  </si>
  <si>
    <t>TVL in INCHES</t>
  </si>
  <si>
    <t>UG-in INCHES</t>
  </si>
  <si>
    <t>Focal Spot in MM</t>
  </si>
  <si>
    <t>MAX. UG Allowed</t>
  </si>
  <si>
    <t>If the tilt needed to align the part is done by measuring the distance from the present position to the aligned position,</t>
  </si>
  <si>
    <t>Material Thickness in inches</t>
  </si>
  <si>
    <t>IQI Thickness In.</t>
  </si>
  <si>
    <t>Hole Diam. In.</t>
  </si>
  <si>
    <t>Volume</t>
  </si>
  <si>
    <t>Sphere Diameter</t>
  </si>
  <si>
    <t>COBALT Source Strength</t>
  </si>
  <si>
    <t>IRIDIUM Source Strength</t>
  </si>
  <si>
    <t>Source RT</t>
  </si>
  <si>
    <t>SPOT Size in MM</t>
  </si>
  <si>
    <t>UG- in INCHES</t>
  </si>
  <si>
    <t>SOD in INCHES</t>
  </si>
  <si>
    <t>OFD in INCHES</t>
  </si>
  <si>
    <t>Object Size</t>
  </si>
  <si>
    <t>Image Size</t>
  </si>
  <si>
    <t>SOD</t>
  </si>
  <si>
    <t>SFD</t>
  </si>
  <si>
    <t>IMAGE SIZE</t>
  </si>
  <si>
    <t>SOURCE to COLLIMATOR</t>
  </si>
  <si>
    <t>Source to Film</t>
  </si>
  <si>
    <t>SIZE of Collimator</t>
  </si>
  <si>
    <t>Collimator Hole</t>
  </si>
  <si>
    <t>DISTANCE</t>
  </si>
  <si>
    <t>Distance</t>
  </si>
  <si>
    <t>Diameter</t>
  </si>
  <si>
    <t>SOURCE to Collimator</t>
  </si>
  <si>
    <t>NEW FILM to COLLIMATOR</t>
  </si>
  <si>
    <t>GEOMETRIC UNSHARPNESS</t>
  </si>
  <si>
    <t>OBJECT ENLARGEMENT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</si>
</sst>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u val="single"/>
      <sz val="10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sz val="10"/>
      <color indexed="14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10"/>
      <color indexed="17"/>
      <name val="Geneva"/>
      <family val="0"/>
    </font>
    <font>
      <sz val="10"/>
      <color indexed="8"/>
      <name val="Geneva"/>
      <family val="0"/>
    </font>
    <font>
      <b/>
      <u val="single"/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71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1066800</xdr:colOff>
      <xdr:row>8</xdr:row>
      <xdr:rowOff>133350</xdr:rowOff>
    </xdr:from>
    <xdr:to>
      <xdr:col>8</xdr:col>
      <xdr:colOff>323850</xdr:colOff>
      <xdr:row>18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428750"/>
          <a:ext cx="1352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31</xdr:row>
      <xdr:rowOff>28575</xdr:rowOff>
    </xdr:from>
    <xdr:to>
      <xdr:col>9</xdr:col>
      <xdr:colOff>238125</xdr:colOff>
      <xdr:row>40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5048250"/>
          <a:ext cx="1352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10</xdr:row>
      <xdr:rowOff>28575</xdr:rowOff>
    </xdr:from>
    <xdr:to>
      <xdr:col>11</xdr:col>
      <xdr:colOff>95250</xdr:colOff>
      <xdr:row>29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647825"/>
          <a:ext cx="43815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</xdr:row>
      <xdr:rowOff>28575</xdr:rowOff>
    </xdr:from>
    <xdr:to>
      <xdr:col>5</xdr:col>
      <xdr:colOff>590550</xdr:colOff>
      <xdr:row>36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76275"/>
          <a:ext cx="451485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9</xdr:row>
      <xdr:rowOff>152400</xdr:rowOff>
    </xdr:from>
    <xdr:to>
      <xdr:col>6</xdr:col>
      <xdr:colOff>838200</xdr:colOff>
      <xdr:row>13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981575" y="1609725"/>
          <a:ext cx="148590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571500</xdr:colOff>
      <xdr:row>13</xdr:row>
      <xdr:rowOff>152400</xdr:rowOff>
    </xdr:from>
    <xdr:to>
      <xdr:col>6</xdr:col>
      <xdr:colOff>819150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5000625" y="2257425"/>
          <a:ext cx="14478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819150</xdr:colOff>
      <xdr:row>9</xdr:row>
      <xdr:rowOff>152400</xdr:rowOff>
    </xdr:from>
    <xdr:to>
      <xdr:col>6</xdr:col>
      <xdr:colOff>819150</xdr:colOff>
      <xdr:row>13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448425" y="1609725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485775</xdr:colOff>
      <xdr:row>20</xdr:row>
      <xdr:rowOff>95250</xdr:rowOff>
    </xdr:from>
    <xdr:to>
      <xdr:col>7</xdr:col>
      <xdr:colOff>180975</xdr:colOff>
      <xdr:row>23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6115050" y="3333750"/>
          <a:ext cx="5619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219075</xdr:colOff>
      <xdr:row>20</xdr:row>
      <xdr:rowOff>114300</xdr:rowOff>
    </xdr:from>
    <xdr:to>
      <xdr:col>7</xdr:col>
      <xdr:colOff>219075</xdr:colOff>
      <xdr:row>23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6715125" y="3352800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495300</xdr:colOff>
      <xdr:row>23</xdr:row>
      <xdr:rowOff>133350</xdr:rowOff>
    </xdr:from>
    <xdr:to>
      <xdr:col>7</xdr:col>
      <xdr:colOff>228600</xdr:colOff>
      <xdr:row>23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124575" y="3857625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695325</xdr:colOff>
      <xdr:row>22</xdr:row>
      <xdr:rowOff>152400</xdr:rowOff>
    </xdr:from>
    <xdr:to>
      <xdr:col>6</xdr:col>
      <xdr:colOff>819150</xdr:colOff>
      <xdr:row>23</xdr:row>
      <xdr:rowOff>152400</xdr:rowOff>
    </xdr:to>
    <xdr:sp>
      <xdr:nvSpPr>
        <xdr:cNvPr id="7" name="Arc 7"/>
        <xdr:cNvSpPr>
          <a:spLocks/>
        </xdr:cNvSpPr>
      </xdr:nvSpPr>
      <xdr:spPr>
        <a:xfrm>
          <a:off x="6324600" y="3714750"/>
          <a:ext cx="133350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457200</xdr:colOff>
      <xdr:row>30</xdr:row>
      <xdr:rowOff>152400</xdr:rowOff>
    </xdr:from>
    <xdr:to>
      <xdr:col>7</xdr:col>
      <xdr:colOff>866775</xdr:colOff>
      <xdr:row>35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6086475" y="5010150"/>
          <a:ext cx="1276350" cy="657225"/>
          <a:chOff x="-11034" y="-385"/>
          <a:chExt cx="30804" cy="20385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-11034" y="-385"/>
            <a:ext cx="30804" cy="1999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-10572" y="19613"/>
            <a:ext cx="30111" cy="3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308" y="-385"/>
            <a:ext cx="231" cy="1999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42</xdr:row>
      <xdr:rowOff>123825</xdr:rowOff>
    </xdr:from>
    <xdr:to>
      <xdr:col>7</xdr:col>
      <xdr:colOff>190500</xdr:colOff>
      <xdr:row>47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5953125" y="6924675"/>
          <a:ext cx="733425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581025</xdr:colOff>
      <xdr:row>42</xdr:row>
      <xdr:rowOff>152400</xdr:rowOff>
    </xdr:from>
    <xdr:to>
      <xdr:col>6</xdr:col>
      <xdr:colOff>600075</xdr:colOff>
      <xdr:row>47</xdr:row>
      <xdr:rowOff>0</xdr:rowOff>
    </xdr:to>
    <xdr:sp>
      <xdr:nvSpPr>
        <xdr:cNvPr id="13" name="Line 13"/>
        <xdr:cNvSpPr>
          <a:spLocks/>
        </xdr:cNvSpPr>
      </xdr:nvSpPr>
      <xdr:spPr>
        <a:xfrm>
          <a:off x="6210300" y="6953250"/>
          <a:ext cx="9525" cy="6572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323850</xdr:colOff>
      <xdr:row>44</xdr:row>
      <xdr:rowOff>152400</xdr:rowOff>
    </xdr:from>
    <xdr:to>
      <xdr:col>6</xdr:col>
      <xdr:colOff>600075</xdr:colOff>
      <xdr:row>44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5953125" y="7277100"/>
          <a:ext cx="266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showGridLines="0" showRowColHeaders="0" tabSelected="1" workbookViewId="0" topLeftCell="A1">
      <selection activeCell="J67" sqref="J67"/>
    </sheetView>
  </sheetViews>
  <sheetFormatPr defaultColWidth="9.00390625" defaultRowHeight="12.75"/>
  <cols>
    <col min="1" max="16384" width="12.375" style="0" customWidth="1"/>
  </cols>
  <sheetData>
    <row r="2" spans="1:9" ht="18.75" thickBot="1">
      <c r="A2" s="1"/>
      <c r="B2" s="41"/>
      <c r="C2" s="42"/>
      <c r="D2" s="42"/>
      <c r="E2" s="43" t="s">
        <v>81</v>
      </c>
      <c r="F2" s="42"/>
      <c r="G2" s="42"/>
      <c r="H2" s="42"/>
      <c r="I2" s="42"/>
    </row>
    <row r="3" spans="1:4" ht="12.75">
      <c r="A3" s="1"/>
      <c r="B3" s="2"/>
      <c r="D3" s="2"/>
    </row>
    <row r="4" spans="1:4" ht="15.75">
      <c r="A4" s="1"/>
      <c r="B4" s="2"/>
      <c r="C4" s="35" t="s">
        <v>228</v>
      </c>
      <c r="D4" s="3"/>
    </row>
    <row r="5" spans="1:6" ht="12.75">
      <c r="A5" s="1"/>
      <c r="B5" s="2"/>
      <c r="D5" s="2" t="s">
        <v>137</v>
      </c>
      <c r="E5" s="4"/>
      <c r="F5" s="4"/>
    </row>
    <row r="6" spans="1:4" ht="12.75">
      <c r="A6" s="1"/>
      <c r="B6" s="2"/>
      <c r="D6" s="3" t="s">
        <v>138</v>
      </c>
    </row>
    <row r="7" spans="1:4" ht="12.75">
      <c r="A7" s="1"/>
      <c r="B7" s="2"/>
      <c r="D7" s="3" t="s">
        <v>139</v>
      </c>
    </row>
    <row r="8" spans="1:4" ht="12.75">
      <c r="A8" s="1"/>
      <c r="B8" s="2"/>
      <c r="D8" s="2" t="s">
        <v>4</v>
      </c>
    </row>
    <row r="9" spans="1:4" ht="12.75">
      <c r="A9" s="1"/>
      <c r="B9" s="2"/>
      <c r="D9" s="2"/>
    </row>
    <row r="10" spans="1:4" ht="15.75">
      <c r="A10" s="1"/>
      <c r="B10" s="2"/>
      <c r="C10" s="35" t="s">
        <v>58</v>
      </c>
      <c r="D10" s="2"/>
    </row>
    <row r="11" spans="1:7" ht="12.75">
      <c r="A11" s="1"/>
      <c r="B11" s="2"/>
      <c r="D11" s="2" t="s">
        <v>59</v>
      </c>
      <c r="E11" s="17"/>
      <c r="F11" s="17"/>
      <c r="G11" s="17"/>
    </row>
    <row r="12" spans="1:4" ht="12.75">
      <c r="A12" s="1"/>
      <c r="B12" s="2"/>
      <c r="D12" s="2" t="s">
        <v>45</v>
      </c>
    </row>
    <row r="13" spans="1:4" ht="12.75">
      <c r="A13" s="1"/>
      <c r="B13" s="2"/>
      <c r="D13" s="2" t="s">
        <v>187</v>
      </c>
    </row>
    <row r="14" spans="1:4" ht="12.75">
      <c r="A14" s="1"/>
      <c r="B14" s="2"/>
      <c r="D14" s="2" t="s">
        <v>188</v>
      </c>
    </row>
    <row r="15" spans="1:4" ht="12.75">
      <c r="A15" s="1"/>
      <c r="B15" s="2"/>
      <c r="C15" s="2"/>
      <c r="D15" s="2" t="s">
        <v>44</v>
      </c>
    </row>
    <row r="16" spans="1:4" ht="12.75">
      <c r="A16" s="1"/>
      <c r="B16" s="2"/>
      <c r="D16" s="2"/>
    </row>
    <row r="17" spans="1:4" ht="15.75">
      <c r="A17" s="1"/>
      <c r="B17" s="2"/>
      <c r="C17" s="35" t="s">
        <v>264</v>
      </c>
      <c r="D17" s="2"/>
    </row>
    <row r="18" spans="1:4" ht="15.75">
      <c r="A18" s="1"/>
      <c r="B18" s="2"/>
      <c r="C18" s="35"/>
      <c r="D18" s="3" t="s">
        <v>151</v>
      </c>
    </row>
    <row r="19" spans="1:4" ht="12.75">
      <c r="A19" s="1"/>
      <c r="B19" s="2"/>
      <c r="C19" s="2"/>
      <c r="D19" s="2"/>
    </row>
    <row r="20" spans="1:3" ht="15.75">
      <c r="A20" s="1"/>
      <c r="B20" s="2"/>
      <c r="C20" s="35" t="s">
        <v>229</v>
      </c>
    </row>
    <row r="21" spans="1:4" ht="12.75">
      <c r="A21" s="1"/>
      <c r="B21" s="2"/>
      <c r="D21" s="2" t="s">
        <v>11</v>
      </c>
    </row>
    <row r="22" spans="1:4" ht="12.75">
      <c r="A22" s="1"/>
      <c r="B22" s="2"/>
      <c r="D22" s="2" t="s">
        <v>12</v>
      </c>
    </row>
    <row r="23" spans="1:4" ht="12.75">
      <c r="A23" s="1"/>
      <c r="B23" s="2"/>
      <c r="D23" s="2" t="s">
        <v>50</v>
      </c>
    </row>
    <row r="24" spans="1:4" ht="12.75">
      <c r="A24" s="1"/>
      <c r="B24" s="2"/>
      <c r="D24" s="2"/>
    </row>
    <row r="25" spans="1:3" ht="15.75">
      <c r="A25" s="1"/>
      <c r="B25" s="2"/>
      <c r="C25" s="35" t="s">
        <v>253</v>
      </c>
    </row>
    <row r="26" spans="1:4" ht="12.75">
      <c r="A26" s="1"/>
      <c r="B26" s="2"/>
      <c r="D26" s="2" t="s">
        <v>305</v>
      </c>
    </row>
    <row r="27" spans="1:4" ht="12.75">
      <c r="A27" s="1"/>
      <c r="B27" s="2"/>
      <c r="D27" s="2" t="s">
        <v>306</v>
      </c>
    </row>
    <row r="28" spans="1:4" ht="12.75">
      <c r="A28" s="1"/>
      <c r="B28" s="2"/>
      <c r="D28" s="2"/>
    </row>
    <row r="29" spans="1:3" ht="15.75">
      <c r="A29" s="1"/>
      <c r="B29" s="2"/>
      <c r="C29" s="35" t="s">
        <v>230</v>
      </c>
    </row>
    <row r="30" spans="1:4" ht="12.75">
      <c r="A30" s="1"/>
      <c r="B30" s="2"/>
      <c r="D30" s="2" t="s">
        <v>134</v>
      </c>
    </row>
    <row r="31" spans="1:4" ht="12.75">
      <c r="A31" s="1"/>
      <c r="B31" s="2"/>
      <c r="D31" s="2" t="s">
        <v>135</v>
      </c>
    </row>
    <row r="32" spans="1:2" ht="12.75">
      <c r="A32" s="1"/>
      <c r="B32" s="2"/>
    </row>
    <row r="33" spans="1:3" ht="15.75">
      <c r="A33" s="1"/>
      <c r="B33" s="2"/>
      <c r="C33" s="35" t="s">
        <v>251</v>
      </c>
    </row>
    <row r="34" spans="1:4" ht="12.75">
      <c r="A34" s="1"/>
      <c r="B34" s="2"/>
      <c r="D34" s="18" t="s">
        <v>148</v>
      </c>
    </row>
    <row r="35" spans="1:4" ht="12.75">
      <c r="A35" s="1"/>
      <c r="B35" s="2"/>
      <c r="D35" s="18" t="s">
        <v>256</v>
      </c>
    </row>
    <row r="36" spans="1:4" ht="12.75">
      <c r="A36" s="1"/>
      <c r="B36" s="2"/>
      <c r="D36" s="2" t="s">
        <v>55</v>
      </c>
    </row>
    <row r="37" spans="1:4" ht="12.75">
      <c r="A37" s="1"/>
      <c r="B37" s="2"/>
      <c r="D37" s="2"/>
    </row>
    <row r="38" spans="1:3" ht="15.75">
      <c r="A38" s="1"/>
      <c r="B38" s="2"/>
      <c r="C38" s="35" t="s">
        <v>79</v>
      </c>
    </row>
    <row r="39" spans="1:4" ht="12.75">
      <c r="A39" s="1"/>
      <c r="B39" s="2"/>
      <c r="D39" s="3" t="s">
        <v>43</v>
      </c>
    </row>
    <row r="40" spans="1:4" ht="12.75">
      <c r="A40" s="1"/>
      <c r="B40" s="2"/>
      <c r="D40" s="2" t="s">
        <v>219</v>
      </c>
    </row>
    <row r="41" spans="1:4" ht="12.75">
      <c r="A41" s="1"/>
      <c r="B41" s="2"/>
      <c r="D41" s="2" t="s">
        <v>153</v>
      </c>
    </row>
    <row r="42" spans="1:4" ht="12.75">
      <c r="A42" s="1"/>
      <c r="B42" s="2"/>
      <c r="D42" s="2"/>
    </row>
    <row r="43" spans="1:3" ht="15.75">
      <c r="A43" s="1"/>
      <c r="B43" s="2"/>
      <c r="C43" s="35" t="s">
        <v>23</v>
      </c>
    </row>
    <row r="44" spans="1:4" ht="12.75">
      <c r="A44" s="1"/>
      <c r="B44" s="2"/>
      <c r="C44" s="1"/>
      <c r="D44" s="2" t="s">
        <v>46</v>
      </c>
    </row>
    <row r="45" spans="1:4" ht="12.75">
      <c r="A45" s="1"/>
      <c r="B45" s="2"/>
      <c r="C45" s="1"/>
      <c r="D45" s="3" t="s">
        <v>47</v>
      </c>
    </row>
    <row r="46" spans="1:4" ht="12.75">
      <c r="A46" s="1"/>
      <c r="B46" s="2"/>
      <c r="C46" s="1"/>
      <c r="D46" s="2" t="s">
        <v>48</v>
      </c>
    </row>
    <row r="47" spans="1:4" ht="12.75">
      <c r="A47" s="1"/>
      <c r="B47" s="2"/>
      <c r="C47" s="1"/>
      <c r="D47" s="3" t="s">
        <v>49</v>
      </c>
    </row>
    <row r="48" spans="1:4" ht="12.75">
      <c r="A48" s="1"/>
      <c r="B48" s="2"/>
      <c r="C48" s="1"/>
      <c r="D48" s="3"/>
    </row>
    <row r="49" spans="1:3" ht="15.75">
      <c r="A49" s="1"/>
      <c r="B49" s="2"/>
      <c r="C49" s="35" t="s">
        <v>286</v>
      </c>
    </row>
    <row r="50" spans="1:4" ht="12.75">
      <c r="A50" s="1"/>
      <c r="B50" s="2"/>
      <c r="C50" s="36"/>
      <c r="D50" s="3" t="s">
        <v>21</v>
      </c>
    </row>
    <row r="51" spans="1:4" ht="12.75">
      <c r="A51" s="1"/>
      <c r="B51" s="2"/>
      <c r="D51" s="2" t="s">
        <v>2</v>
      </c>
    </row>
    <row r="52" spans="1:4" ht="12.75">
      <c r="A52" s="1"/>
      <c r="B52" s="2"/>
      <c r="D52" s="2" t="s">
        <v>24</v>
      </c>
    </row>
    <row r="53" spans="1:4" ht="12.75">
      <c r="A53" s="1"/>
      <c r="B53" s="2"/>
      <c r="D53" s="2" t="s">
        <v>22</v>
      </c>
    </row>
    <row r="54" spans="1:4" ht="12.75">
      <c r="A54" s="1"/>
      <c r="B54" s="2"/>
      <c r="D54" s="2" t="s">
        <v>3</v>
      </c>
    </row>
    <row r="55" spans="1:4" ht="12.75">
      <c r="A55" s="1"/>
      <c r="B55" s="2"/>
      <c r="D55" s="2" t="s">
        <v>25</v>
      </c>
    </row>
    <row r="56" spans="1:3" ht="12.75">
      <c r="A56" s="1"/>
      <c r="B56" s="2"/>
      <c r="C56" s="3" t="s">
        <v>80</v>
      </c>
    </row>
    <row r="57" spans="1:7" ht="12.75">
      <c r="A57" s="1"/>
      <c r="B57" s="2"/>
      <c r="C57" s="3"/>
      <c r="D57" s="2" t="s">
        <v>258</v>
      </c>
      <c r="G57" s="2" t="s">
        <v>216</v>
      </c>
    </row>
    <row r="58" spans="1:7" ht="12.75">
      <c r="A58" s="1"/>
      <c r="B58" s="2"/>
      <c r="C58" s="3"/>
      <c r="D58" s="2" t="s">
        <v>8</v>
      </c>
      <c r="G58" s="2" t="s">
        <v>217</v>
      </c>
    </row>
    <row r="59" spans="1:7" ht="12.75">
      <c r="A59" s="1"/>
      <c r="B59" s="2"/>
      <c r="C59" s="3"/>
      <c r="D59" s="2" t="s">
        <v>9</v>
      </c>
      <c r="G59" s="2" t="s">
        <v>218</v>
      </c>
    </row>
    <row r="60" spans="1:7" ht="12.75">
      <c r="A60" s="1"/>
      <c r="B60" s="2"/>
      <c r="C60" s="3"/>
      <c r="D60" s="2" t="s">
        <v>10</v>
      </c>
      <c r="G60" s="2" t="s">
        <v>220</v>
      </c>
    </row>
    <row r="61" spans="1:4" ht="12.75">
      <c r="A61" s="1"/>
      <c r="B61" s="2"/>
      <c r="C61" s="3"/>
      <c r="D61" s="2"/>
    </row>
    <row r="62" spans="1:9" ht="12.75">
      <c r="A62" s="45"/>
      <c r="B62" s="46"/>
      <c r="C62" s="45"/>
      <c r="E62" s="44"/>
      <c r="F62" s="44"/>
      <c r="G62" s="44"/>
      <c r="H62" s="44"/>
      <c r="I62" s="44"/>
    </row>
    <row r="63" spans="1:4" ht="12.75">
      <c r="A63" s="1"/>
      <c r="B63" s="2"/>
      <c r="C63" s="1"/>
      <c r="D63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1"/>
  <sheetViews>
    <sheetView showGridLines="0" showRowColHeaders="0" workbookViewId="0" topLeftCell="A17">
      <selection activeCell="F32" sqref="F32"/>
    </sheetView>
  </sheetViews>
  <sheetFormatPr defaultColWidth="9.00390625" defaultRowHeight="12.75"/>
  <cols>
    <col min="1" max="1" width="8.75390625" style="0" customWidth="1"/>
    <col min="2" max="2" width="11.375" style="0" customWidth="1"/>
    <col min="3" max="3" width="5.00390625" style="0" customWidth="1"/>
    <col min="4" max="4" width="16.375" style="0" customWidth="1"/>
    <col min="5" max="5" width="16.625" style="0" customWidth="1"/>
    <col min="6" max="6" width="15.75390625" style="0" customWidth="1"/>
    <col min="7" max="16384" width="11.375" style="0" customWidth="1"/>
  </cols>
  <sheetData>
    <row r="2" spans="2:3" ht="12.75">
      <c r="B2" s="2" t="s">
        <v>82</v>
      </c>
      <c r="C2" s="2"/>
    </row>
    <row r="3" spans="3:7" ht="12.75">
      <c r="C3" s="2"/>
      <c r="G3" t="s">
        <v>114</v>
      </c>
    </row>
    <row r="6" spans="1:6" ht="12.75">
      <c r="A6" s="1"/>
      <c r="B6" s="13"/>
      <c r="D6" s="5"/>
      <c r="E6" s="5"/>
      <c r="F6" s="5"/>
    </row>
    <row r="7" spans="1:6" ht="12.75">
      <c r="A7" s="1"/>
      <c r="B7" s="13"/>
      <c r="D7" s="5"/>
      <c r="E7" s="5"/>
      <c r="F7" s="5"/>
    </row>
    <row r="8" spans="1:4" ht="12.75">
      <c r="A8" s="1"/>
      <c r="B8" s="13"/>
      <c r="D8" s="2" t="s">
        <v>46</v>
      </c>
    </row>
    <row r="9" spans="1:5" ht="12.75">
      <c r="A9" s="1"/>
      <c r="B9" s="13"/>
      <c r="D9" s="5" t="s">
        <v>28</v>
      </c>
      <c r="E9" s="5"/>
    </row>
    <row r="10" spans="1:5" ht="12.75">
      <c r="A10" s="1"/>
      <c r="B10" s="13" t="s">
        <v>29</v>
      </c>
      <c r="D10" s="5" t="s">
        <v>30</v>
      </c>
      <c r="E10" s="5" t="s">
        <v>31</v>
      </c>
    </row>
    <row r="11" spans="1:5" ht="12.75">
      <c r="A11" s="1"/>
      <c r="B11" s="13">
        <f>ASIN($D11/$E11)*180/PI()</f>
        <v>0.33311687385954797</v>
      </c>
      <c r="D11" s="7">
        <v>0.25</v>
      </c>
      <c r="E11" s="7">
        <v>43</v>
      </c>
    </row>
    <row r="12" spans="1:6" ht="12.75">
      <c r="A12" s="1"/>
      <c r="B12" s="13"/>
      <c r="D12" s="5" t="s">
        <v>32</v>
      </c>
      <c r="F12" s="20" t="s">
        <v>31</v>
      </c>
    </row>
    <row r="13" spans="1:8" ht="12.75">
      <c r="A13" s="1"/>
      <c r="B13" s="13" t="s">
        <v>29</v>
      </c>
      <c r="D13" s="5" t="s">
        <v>30</v>
      </c>
      <c r="E13" s="5" t="s">
        <v>33</v>
      </c>
      <c r="H13" s="5" t="s">
        <v>30</v>
      </c>
    </row>
    <row r="14" spans="1:6" ht="12.75">
      <c r="A14" s="1"/>
      <c r="B14" s="13">
        <f>ATAN($D14/$E14)*180/PI()</f>
        <v>0.19894287936062627</v>
      </c>
      <c r="D14" s="7">
        <v>0.25</v>
      </c>
      <c r="E14" s="7">
        <v>72</v>
      </c>
      <c r="F14" s="22" t="s">
        <v>34</v>
      </c>
    </row>
    <row r="15" spans="1:7" ht="12.75">
      <c r="A15" s="1"/>
      <c r="B15" s="13"/>
      <c r="D15" s="5" t="s">
        <v>35</v>
      </c>
      <c r="E15" s="5"/>
      <c r="G15" s="5" t="s">
        <v>33</v>
      </c>
    </row>
    <row r="16" spans="1:5" ht="12.75">
      <c r="A16" s="1"/>
      <c r="B16" s="13" t="s">
        <v>29</v>
      </c>
      <c r="D16" s="5" t="s">
        <v>33</v>
      </c>
      <c r="E16" s="5" t="s">
        <v>31</v>
      </c>
    </row>
    <row r="17" spans="1:5" ht="12.75">
      <c r="A17" s="1"/>
      <c r="B17" s="13">
        <f>ACOS($D17/$E17)*180/PI()</f>
        <v>18.407041997785488</v>
      </c>
      <c r="D17" s="7">
        <v>40.8</v>
      </c>
      <c r="E17" s="7">
        <v>43</v>
      </c>
    </row>
    <row r="18" spans="1:5" ht="12.75">
      <c r="A18" s="1"/>
      <c r="B18" s="13"/>
      <c r="D18" s="31"/>
      <c r="E18" s="31"/>
    </row>
    <row r="19" spans="1:5" ht="12.75">
      <c r="A19" s="1"/>
      <c r="B19" s="13"/>
      <c r="D19" s="31"/>
      <c r="E19" s="31"/>
    </row>
    <row r="20" spans="1:5" ht="12.75">
      <c r="A20" s="1"/>
      <c r="B20" s="13"/>
      <c r="D20" s="5"/>
      <c r="E20" s="5"/>
    </row>
    <row r="21" spans="1:5" ht="12.75">
      <c r="A21" s="1"/>
      <c r="B21" s="13"/>
      <c r="D21" s="5"/>
      <c r="E21" s="5"/>
    </row>
    <row r="22" spans="1:7" ht="12.75">
      <c r="A22" s="1"/>
      <c r="B22" s="13"/>
      <c r="D22" s="1" t="s">
        <v>47</v>
      </c>
      <c r="E22" s="5"/>
      <c r="G22" s="5" t="s">
        <v>36</v>
      </c>
    </row>
    <row r="23" spans="1:8" ht="12.75">
      <c r="A23" s="1"/>
      <c r="B23" s="23" t="s">
        <v>191</v>
      </c>
      <c r="D23" s="5" t="s">
        <v>192</v>
      </c>
      <c r="E23" s="5" t="s">
        <v>193</v>
      </c>
      <c r="F23" s="5" t="s">
        <v>194</v>
      </c>
      <c r="H23" s="24" t="s">
        <v>195</v>
      </c>
    </row>
    <row r="24" spans="1:6" ht="12.75">
      <c r="A24" s="1"/>
      <c r="B24" s="13">
        <f>SQRT(($D24^2+$F24^2)-(2*D24*F24*(COS(E24*PI()/180))))</f>
        <v>86.60254037844386</v>
      </c>
      <c r="D24" s="7">
        <v>100</v>
      </c>
      <c r="E24" s="7">
        <v>60</v>
      </c>
      <c r="F24" s="7">
        <v>50</v>
      </c>
    </row>
    <row r="25" spans="1:7" ht="12.75">
      <c r="A25" s="1"/>
      <c r="B25" s="13"/>
      <c r="D25" s="5"/>
      <c r="E25" s="5"/>
      <c r="F25" s="5"/>
      <c r="G25" s="20" t="s">
        <v>196</v>
      </c>
    </row>
    <row r="26" spans="1:7" ht="12.75">
      <c r="A26" s="1"/>
      <c r="B26" s="13"/>
      <c r="D26" s="5"/>
      <c r="E26" s="5"/>
      <c r="F26" s="5"/>
      <c r="G26" s="20"/>
    </row>
    <row r="27" spans="1:7" ht="12.75">
      <c r="A27" s="1"/>
      <c r="B27" s="13"/>
      <c r="D27" s="5"/>
      <c r="E27" s="5"/>
      <c r="F27" s="5"/>
      <c r="G27" s="20"/>
    </row>
    <row r="28" spans="1:6" ht="12.75">
      <c r="A28" s="1"/>
      <c r="B28" s="13"/>
      <c r="D28" s="5"/>
      <c r="E28" s="5"/>
      <c r="F28" s="5"/>
    </row>
    <row r="29" spans="1:7" ht="12.75">
      <c r="A29" s="1"/>
      <c r="B29" s="13"/>
      <c r="G29" s="20"/>
    </row>
    <row r="30" spans="1:4" ht="12.75">
      <c r="A30" s="1"/>
      <c r="B30" s="13"/>
      <c r="D30" s="2" t="s">
        <v>48</v>
      </c>
    </row>
    <row r="31" spans="1:6" ht="12.75">
      <c r="A31" s="1"/>
      <c r="B31" s="25" t="s">
        <v>197</v>
      </c>
      <c r="D31" s="26" t="s">
        <v>198</v>
      </c>
      <c r="E31" s="5" t="s">
        <v>196</v>
      </c>
      <c r="F31" s="5" t="s">
        <v>36</v>
      </c>
    </row>
    <row r="32" spans="1:8" ht="12.75">
      <c r="A32" s="1"/>
      <c r="B32" s="10">
        <f>ASIN((SIN($D32*PI()/180)*$E32)/$F32)*180/PI()</f>
        <v>30.00857931437414</v>
      </c>
      <c r="D32" s="7">
        <v>60</v>
      </c>
      <c r="E32" s="7">
        <v>115.5</v>
      </c>
      <c r="F32" s="7">
        <v>200</v>
      </c>
      <c r="H32" s="27" t="s">
        <v>199</v>
      </c>
    </row>
    <row r="33" spans="1:8" ht="12.75">
      <c r="A33" s="1"/>
      <c r="B33" s="28" t="s">
        <v>198</v>
      </c>
      <c r="D33" s="24" t="s">
        <v>197</v>
      </c>
      <c r="E33" s="5" t="s">
        <v>36</v>
      </c>
      <c r="F33" s="5" t="s">
        <v>196</v>
      </c>
      <c r="H33" s="19" t="s">
        <v>200</v>
      </c>
    </row>
    <row r="34" spans="1:9" ht="12.75">
      <c r="A34" s="1"/>
      <c r="B34" s="10">
        <f>ASIN((SIN($D34*PI()/180)*$E34)/($F34))*180/PI()</f>
        <v>59.974279840508906</v>
      </c>
      <c r="D34" s="7">
        <v>30</v>
      </c>
      <c r="E34" s="7">
        <v>200</v>
      </c>
      <c r="F34" s="7">
        <v>115.5</v>
      </c>
      <c r="I34" s="19" t="s">
        <v>201</v>
      </c>
    </row>
    <row r="35" spans="1:8" ht="12.75">
      <c r="A35" s="1"/>
      <c r="B35" s="6" t="s">
        <v>196</v>
      </c>
      <c r="D35" s="24" t="s">
        <v>197</v>
      </c>
      <c r="E35" s="5" t="s">
        <v>36</v>
      </c>
      <c r="F35" s="26" t="s">
        <v>129</v>
      </c>
      <c r="G35" s="29" t="s">
        <v>130</v>
      </c>
      <c r="H35" s="30" t="s">
        <v>131</v>
      </c>
    </row>
    <row r="36" spans="1:8" ht="12.75">
      <c r="A36" s="1"/>
      <c r="B36" s="10">
        <f>(SIN($D36*PI()/180)*$E36)/(SIN($F36*PI()/180))</f>
        <v>115.47005383792515</v>
      </c>
      <c r="D36" s="7">
        <v>30</v>
      </c>
      <c r="E36" s="7">
        <v>200</v>
      </c>
      <c r="F36" s="7">
        <v>60</v>
      </c>
      <c r="H36" s="5" t="s">
        <v>132</v>
      </c>
    </row>
    <row r="37" spans="1:6" ht="12.75">
      <c r="A37" s="1"/>
      <c r="B37" s="6" t="s">
        <v>36</v>
      </c>
      <c r="D37" s="24" t="s">
        <v>197</v>
      </c>
      <c r="E37" s="5" t="s">
        <v>196</v>
      </c>
      <c r="F37" s="26" t="s">
        <v>198</v>
      </c>
    </row>
    <row r="38" spans="1:6" ht="12.75">
      <c r="A38" s="1"/>
      <c r="B38" s="10">
        <f>(SIN($F38*PI()/180)*$E38)/(SIN($D38*PI()/180))</f>
        <v>200.05186827420533</v>
      </c>
      <c r="D38" s="7">
        <v>30</v>
      </c>
      <c r="E38" s="7">
        <v>115.5</v>
      </c>
      <c r="F38" s="7">
        <v>60</v>
      </c>
    </row>
    <row r="39" spans="1:6" ht="12.75">
      <c r="A39" s="1"/>
      <c r="B39" s="6" t="s">
        <v>195</v>
      </c>
      <c r="D39" s="24" t="s">
        <v>197</v>
      </c>
      <c r="E39" s="5" t="s">
        <v>36</v>
      </c>
      <c r="F39" s="26" t="s">
        <v>198</v>
      </c>
    </row>
    <row r="40" spans="2:7" ht="12.75">
      <c r="B40" s="10">
        <f>(SIN($D40*PI()/180)*$E40)/(SIN($F40*PI()/180))</f>
        <v>115.47005383792515</v>
      </c>
      <c r="D40" s="7">
        <v>30</v>
      </c>
      <c r="E40" s="7">
        <v>200</v>
      </c>
      <c r="F40" s="7">
        <v>60</v>
      </c>
      <c r="G40" s="49" t="s">
        <v>209</v>
      </c>
    </row>
    <row r="41" ht="12.75">
      <c r="G41" t="s">
        <v>210</v>
      </c>
    </row>
    <row r="42" spans="1:6" ht="12.75">
      <c r="A42" s="1"/>
      <c r="B42" s="10"/>
      <c r="D42" s="5"/>
      <c r="E42" s="5"/>
      <c r="F42" s="5"/>
    </row>
    <row r="43" spans="1:7" ht="12.75">
      <c r="A43" s="1"/>
      <c r="B43" s="10"/>
      <c r="D43" s="5"/>
      <c r="E43" s="5"/>
      <c r="F43" s="5"/>
      <c r="G43" s="24" t="s">
        <v>133</v>
      </c>
    </row>
    <row r="44" spans="1:6" ht="12.75">
      <c r="A44" s="1"/>
      <c r="B44" s="10"/>
      <c r="D44" s="3" t="s">
        <v>49</v>
      </c>
      <c r="E44" s="5"/>
      <c r="F44" s="5"/>
    </row>
    <row r="45" spans="1:6" ht="12.75">
      <c r="A45" s="1"/>
      <c r="B45" s="57" t="s">
        <v>231</v>
      </c>
      <c r="D45" s="19" t="s">
        <v>232</v>
      </c>
      <c r="E45" s="5"/>
      <c r="F45" s="19" t="s">
        <v>68</v>
      </c>
    </row>
    <row r="46" spans="1:6" ht="12.75">
      <c r="A46" s="1"/>
      <c r="B46" s="58">
        <f>2*(SQRT(((F46/2)^2)-(F46/2-D46)^2))</f>
        <v>0.887299273075302</v>
      </c>
      <c r="D46" s="7">
        <v>0.005</v>
      </c>
      <c r="E46" s="5"/>
      <c r="F46" s="7">
        <v>39.37</v>
      </c>
    </row>
    <row r="47" spans="1:6" ht="12.75">
      <c r="A47" s="1"/>
      <c r="B47" s="10"/>
      <c r="D47" s="5"/>
      <c r="E47" s="5"/>
      <c r="F47" s="5"/>
    </row>
    <row r="48" spans="1:7" ht="12.75">
      <c r="A48" s="1"/>
      <c r="B48" s="10"/>
      <c r="G48" s="24" t="s">
        <v>69</v>
      </c>
    </row>
    <row r="49" spans="1:6" ht="12.75">
      <c r="A49" s="1"/>
      <c r="B49" s="10"/>
      <c r="D49" s="2" t="s">
        <v>108</v>
      </c>
      <c r="F49" s="5"/>
    </row>
    <row r="50" ht="12.75">
      <c r="D50" t="s">
        <v>109</v>
      </c>
    </row>
    <row r="51" ht="12.75">
      <c r="D51" t="s">
        <v>110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49"/>
  <sheetViews>
    <sheetView showGridLines="0" showRowColHeaders="0" workbookViewId="0" topLeftCell="A1">
      <selection activeCell="F27" sqref="F27"/>
    </sheetView>
  </sheetViews>
  <sheetFormatPr defaultColWidth="9.00390625" defaultRowHeight="12.75"/>
  <cols>
    <col min="1" max="1" width="4.75390625" style="0" customWidth="1"/>
    <col min="2" max="2" width="12.375" style="0" customWidth="1"/>
    <col min="3" max="3" width="6.875" style="0" customWidth="1"/>
    <col min="4" max="4" width="14.625" style="0" customWidth="1"/>
    <col min="5" max="5" width="17.00390625" style="0" customWidth="1"/>
    <col min="6" max="16384" width="12.375" style="0" customWidth="1"/>
  </cols>
  <sheetData>
    <row r="2" spans="2:3" ht="12.75">
      <c r="B2" s="2" t="s">
        <v>82</v>
      </c>
      <c r="C2" s="2"/>
    </row>
    <row r="3" spans="3:7" ht="12.75">
      <c r="C3" s="2"/>
      <c r="G3" t="s">
        <v>83</v>
      </c>
    </row>
    <row r="4" ht="12.75">
      <c r="C4" s="2"/>
    </row>
    <row r="5" ht="12.75">
      <c r="C5" s="2"/>
    </row>
    <row r="6" ht="12.75">
      <c r="C6" s="2"/>
    </row>
    <row r="7" ht="12.75">
      <c r="C7" s="2"/>
    </row>
    <row r="10" spans="1:4" ht="15.75">
      <c r="A10" s="1"/>
      <c r="B10" s="2"/>
      <c r="D10" s="33" t="s">
        <v>284</v>
      </c>
    </row>
    <row r="11" spans="1:6" ht="12.75">
      <c r="A11" s="1"/>
      <c r="B11" s="1" t="s">
        <v>221</v>
      </c>
      <c r="D11" s="5" t="s">
        <v>222</v>
      </c>
      <c r="E11" s="5" t="s">
        <v>223</v>
      </c>
      <c r="F11" s="5" t="s">
        <v>122</v>
      </c>
    </row>
    <row r="12" spans="1:6" ht="12.75">
      <c r="A12" s="1"/>
      <c r="B12" s="6">
        <f>$D12*(EXP(-0.693*($F12-$E12)/1934.5))</f>
        <v>671.4379611053376</v>
      </c>
      <c r="D12" s="7">
        <v>1100</v>
      </c>
      <c r="E12" s="8">
        <v>25345</v>
      </c>
      <c r="F12" s="8">
        <v>26723</v>
      </c>
    </row>
    <row r="13" spans="1:6" ht="12.75">
      <c r="A13" s="1"/>
      <c r="B13" s="6"/>
      <c r="D13" s="31"/>
      <c r="E13" s="32"/>
      <c r="F13" s="32"/>
    </row>
    <row r="14" spans="1:6" ht="12.75">
      <c r="A14" s="1"/>
      <c r="B14" s="12"/>
      <c r="D14" s="2"/>
      <c r="E14" s="9"/>
      <c r="F14" s="9"/>
    </row>
    <row r="15" spans="1:6" ht="12.75">
      <c r="A15" s="1"/>
      <c r="B15" s="10"/>
      <c r="D15" s="2" t="s">
        <v>2</v>
      </c>
      <c r="F15" s="9"/>
    </row>
    <row r="16" spans="1:6" ht="12.75">
      <c r="A16" s="1"/>
      <c r="B16" s="10" t="s">
        <v>78</v>
      </c>
      <c r="D16" s="5" t="s">
        <v>159</v>
      </c>
      <c r="E16" s="5" t="s">
        <v>160</v>
      </c>
      <c r="F16" s="9"/>
    </row>
    <row r="17" spans="1:6" ht="12.75">
      <c r="A17" s="1"/>
      <c r="B17" s="10">
        <f>(14500*$D17)/$E17^2</f>
        <v>1316.8595679012346</v>
      </c>
      <c r="D17" s="7">
        <v>117.7</v>
      </c>
      <c r="E17" s="7">
        <v>36</v>
      </c>
      <c r="F17" s="9"/>
    </row>
    <row r="18" spans="1:6" ht="12.75">
      <c r="A18" s="1"/>
      <c r="B18" s="10" t="s">
        <v>161</v>
      </c>
      <c r="D18" s="5" t="s">
        <v>159</v>
      </c>
      <c r="E18" s="5" t="s">
        <v>78</v>
      </c>
      <c r="F18" s="9"/>
    </row>
    <row r="19" spans="1:6" ht="12.75">
      <c r="A19" s="1"/>
      <c r="B19" s="10">
        <f>SQRT((14500*$D19)/$E19)</f>
        <v>540.1296140742517</v>
      </c>
      <c r="D19" s="7">
        <v>50.3</v>
      </c>
      <c r="E19" s="7">
        <v>2.5</v>
      </c>
      <c r="F19" s="9"/>
    </row>
    <row r="20" spans="1:6" ht="12.75">
      <c r="A20" s="1"/>
      <c r="B20" s="10" t="s">
        <v>162</v>
      </c>
      <c r="D20" s="5" t="s">
        <v>78</v>
      </c>
      <c r="E20" s="5" t="s">
        <v>160</v>
      </c>
      <c r="F20" s="9"/>
    </row>
    <row r="21" spans="1:5" ht="12.75">
      <c r="A21" s="1"/>
      <c r="B21" s="10">
        <f>$D21*($E21^2)/14500</f>
        <v>4</v>
      </c>
      <c r="D21" s="7">
        <v>580</v>
      </c>
      <c r="E21" s="7">
        <v>10</v>
      </c>
    </row>
    <row r="22" spans="1:5" ht="12.75">
      <c r="A22" s="1"/>
      <c r="B22" s="10"/>
      <c r="D22" s="31"/>
      <c r="E22" s="31"/>
    </row>
    <row r="23" spans="1:6" ht="12.75">
      <c r="A23" s="1"/>
      <c r="B23" s="6"/>
      <c r="D23" s="5"/>
      <c r="E23" s="4"/>
      <c r="F23" s="4"/>
    </row>
    <row r="24" spans="1:6" ht="12.75">
      <c r="A24" s="1"/>
      <c r="B24" s="6"/>
      <c r="D24" s="2" t="s">
        <v>24</v>
      </c>
      <c r="E24" s="4"/>
      <c r="F24" s="4"/>
    </row>
    <row r="25" spans="1:12" ht="12.75">
      <c r="A25" s="1"/>
      <c r="B25" s="6"/>
      <c r="D25" s="2" t="s">
        <v>123</v>
      </c>
      <c r="E25" s="4"/>
      <c r="F25" s="4"/>
      <c r="L25" s="6">
        <f>-48.51+(766.08*F27)-(396.19*F27^2)+(128.08*F27^3)</f>
        <v>923.5300000000002</v>
      </c>
    </row>
    <row r="26" spans="1:6" ht="12.75">
      <c r="A26" s="1"/>
      <c r="B26" s="1" t="s">
        <v>124</v>
      </c>
      <c r="D26" s="5" t="s">
        <v>125</v>
      </c>
      <c r="E26" s="4" t="s">
        <v>126</v>
      </c>
      <c r="F26" s="9" t="s">
        <v>127</v>
      </c>
    </row>
    <row r="27" spans="1:6" ht="12.75">
      <c r="A27" s="1"/>
      <c r="B27" s="6">
        <f>(L25/D27)*(E27^2/2304)</f>
        <v>2.3088250000000006</v>
      </c>
      <c r="D27" s="7">
        <v>100</v>
      </c>
      <c r="E27" s="7">
        <v>24</v>
      </c>
      <c r="F27" s="7">
        <v>2</v>
      </c>
    </row>
    <row r="28" spans="1:6" ht="12.75">
      <c r="A28" s="1"/>
      <c r="D28" s="5"/>
      <c r="E28" s="4"/>
      <c r="F28" s="4"/>
    </row>
    <row r="29" spans="1:6" ht="12.75">
      <c r="A29" s="1"/>
      <c r="B29" s="10"/>
      <c r="D29" s="5"/>
      <c r="E29" s="5"/>
      <c r="F29" s="5"/>
    </row>
    <row r="30" spans="1:5" ht="12.75">
      <c r="A30" s="1"/>
      <c r="B30" s="10"/>
      <c r="D30" s="31"/>
      <c r="E30" s="31"/>
    </row>
    <row r="31" spans="1:6" ht="12.75">
      <c r="A31" s="1"/>
      <c r="B31" s="10"/>
      <c r="F31" s="9"/>
    </row>
    <row r="32" spans="1:6" ht="15.75">
      <c r="A32" s="1"/>
      <c r="B32" s="10"/>
      <c r="D32" s="34" t="s">
        <v>285</v>
      </c>
      <c r="E32" s="5"/>
      <c r="F32" s="5"/>
    </row>
    <row r="33" spans="1:6" ht="12.75">
      <c r="A33" s="1"/>
      <c r="B33" s="11" t="s">
        <v>128</v>
      </c>
      <c r="D33" s="5" t="s">
        <v>222</v>
      </c>
      <c r="E33" s="5" t="s">
        <v>223</v>
      </c>
      <c r="F33" s="5" t="s">
        <v>122</v>
      </c>
    </row>
    <row r="34" spans="1:6" ht="12.75">
      <c r="A34" s="1"/>
      <c r="B34" s="6">
        <f>$D34*(EXP(-0.693*($F34-$E34)/75))</f>
        <v>41.9555274056094</v>
      </c>
      <c r="D34" s="7">
        <v>100</v>
      </c>
      <c r="E34" s="8">
        <v>30933</v>
      </c>
      <c r="F34" s="8">
        <v>31027</v>
      </c>
    </row>
    <row r="35" spans="1:6" ht="12.75">
      <c r="A35" s="1"/>
      <c r="B35" s="6"/>
      <c r="D35" s="31"/>
      <c r="E35" s="32"/>
      <c r="F35" s="32"/>
    </row>
    <row r="36" spans="1:6" ht="12.75">
      <c r="A36" s="1"/>
      <c r="B36" s="6"/>
      <c r="D36" s="5"/>
      <c r="E36" s="4"/>
      <c r="F36" s="4"/>
    </row>
    <row r="37" spans="1:6" ht="12.75">
      <c r="A37" s="1"/>
      <c r="B37" s="10"/>
      <c r="D37" s="2" t="s">
        <v>3</v>
      </c>
      <c r="F37" s="9"/>
    </row>
    <row r="38" spans="1:12" ht="12.75">
      <c r="A38" s="1"/>
      <c r="B38" s="10" t="s">
        <v>78</v>
      </c>
      <c r="D38" s="5" t="s">
        <v>159</v>
      </c>
      <c r="E38" s="5" t="s">
        <v>160</v>
      </c>
      <c r="F38" s="9"/>
      <c r="L38" s="6">
        <f>-322.4+(2797.8*F49)-(2213.1*F49^2)+(810.5*F49^3)</f>
        <v>2904.800000000001</v>
      </c>
    </row>
    <row r="39" spans="1:6" ht="12.75">
      <c r="A39" s="1"/>
      <c r="B39" s="10">
        <f>(5200*$D39)/$E39^2</f>
        <v>520000</v>
      </c>
      <c r="D39" s="7">
        <v>100</v>
      </c>
      <c r="E39" s="7">
        <v>1</v>
      </c>
      <c r="F39" s="9"/>
    </row>
    <row r="40" spans="1:6" ht="12.75">
      <c r="A40" s="1"/>
      <c r="B40" s="10" t="s">
        <v>161</v>
      </c>
      <c r="D40" s="5" t="s">
        <v>159</v>
      </c>
      <c r="E40" s="5" t="s">
        <v>78</v>
      </c>
      <c r="F40" s="9"/>
    </row>
    <row r="41" spans="1:6" ht="12.75">
      <c r="A41" s="1"/>
      <c r="B41" s="10">
        <f>SQRT((5200*$D41)/$E41)</f>
        <v>29.94247358081712</v>
      </c>
      <c r="D41" s="7">
        <v>100</v>
      </c>
      <c r="E41" s="7">
        <v>580</v>
      </c>
      <c r="F41" s="9"/>
    </row>
    <row r="42" spans="1:6" ht="12.75">
      <c r="A42" s="1"/>
      <c r="B42" s="10" t="s">
        <v>162</v>
      </c>
      <c r="D42" s="5" t="s">
        <v>78</v>
      </c>
      <c r="E42" s="5" t="s">
        <v>160</v>
      </c>
      <c r="F42" s="9"/>
    </row>
    <row r="43" spans="1:6" ht="18.75" customHeight="1">
      <c r="A43" s="1"/>
      <c r="B43" s="10">
        <f>$D43*($E43^2)/5200</f>
        <v>100</v>
      </c>
      <c r="D43" s="7">
        <v>208</v>
      </c>
      <c r="E43" s="7">
        <v>50</v>
      </c>
      <c r="F43" s="9"/>
    </row>
    <row r="44" spans="1:6" ht="18.75" customHeight="1">
      <c r="A44" s="1"/>
      <c r="B44" s="10"/>
      <c r="D44" s="31"/>
      <c r="E44" s="31"/>
      <c r="F44" s="9"/>
    </row>
    <row r="45" spans="1:2" ht="12.75">
      <c r="A45" s="1"/>
      <c r="B45" s="10"/>
    </row>
    <row r="46" spans="1:6" ht="12.75">
      <c r="A46" s="1"/>
      <c r="B46" s="6"/>
      <c r="D46" s="2" t="s">
        <v>25</v>
      </c>
      <c r="E46" s="4"/>
      <c r="F46" s="4"/>
    </row>
    <row r="47" spans="1:6" ht="12.75">
      <c r="A47" s="1"/>
      <c r="B47" s="6"/>
      <c r="D47" s="2" t="s">
        <v>77</v>
      </c>
      <c r="E47" s="4"/>
      <c r="F47" s="4"/>
    </row>
    <row r="48" spans="1:6" ht="12.75">
      <c r="A48" s="1"/>
      <c r="B48" s="1" t="s">
        <v>124</v>
      </c>
      <c r="D48" s="5" t="s">
        <v>125</v>
      </c>
      <c r="E48" s="4" t="s">
        <v>126</v>
      </c>
      <c r="F48" s="9" t="s">
        <v>127</v>
      </c>
    </row>
    <row r="49" spans="1:6" ht="12.75">
      <c r="A49" s="1"/>
      <c r="B49" s="6">
        <f>(L38/D49)*(E49^2/2304)</f>
        <v>14.524000000000006</v>
      </c>
      <c r="D49" s="7">
        <v>200</v>
      </c>
      <c r="E49" s="7">
        <v>48</v>
      </c>
      <c r="F49" s="7">
        <v>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RowColHeaders="0" workbookViewId="0" topLeftCell="A1">
      <selection activeCell="E10" sqref="E10"/>
    </sheetView>
  </sheetViews>
  <sheetFormatPr defaultColWidth="9.00390625" defaultRowHeight="12.75"/>
  <cols>
    <col min="1" max="3" width="11.375" style="0" customWidth="1"/>
    <col min="4" max="4" width="24.125" style="0" customWidth="1"/>
    <col min="5" max="5" width="18.00390625" style="0" customWidth="1"/>
    <col min="6" max="6" width="15.375" style="0" customWidth="1"/>
    <col min="7" max="7" width="17.00390625" style="0" customWidth="1"/>
    <col min="8" max="16384" width="11.375" style="0" customWidth="1"/>
  </cols>
  <sheetData>
    <row r="1" spans="2:3" ht="12.75">
      <c r="B1" s="2" t="s">
        <v>82</v>
      </c>
      <c r="C1" s="2"/>
    </row>
    <row r="2" spans="3:7" ht="12.75">
      <c r="C2" s="2"/>
      <c r="G2" t="s">
        <v>83</v>
      </c>
    </row>
    <row r="3" spans="1:2" ht="12.75">
      <c r="A3" s="1"/>
      <c r="B3" s="13"/>
    </row>
    <row r="4" spans="1:4" ht="12.75">
      <c r="A4" s="1"/>
      <c r="B4" s="13"/>
      <c r="D4" s="2" t="s">
        <v>258</v>
      </c>
    </row>
    <row r="5" spans="1:6" ht="12.75">
      <c r="A5" s="1"/>
      <c r="B5" s="13" t="s">
        <v>179</v>
      </c>
      <c r="D5" t="s">
        <v>102</v>
      </c>
      <c r="E5" t="s">
        <v>103</v>
      </c>
      <c r="F5" t="s">
        <v>104</v>
      </c>
    </row>
    <row r="6" spans="1:6" ht="12.75">
      <c r="A6" s="1"/>
      <c r="B6" s="13">
        <f>$D6*(2.718^(-$E6*$F6))</f>
        <v>0.16812087732381753</v>
      </c>
      <c r="D6" s="7">
        <v>18000</v>
      </c>
      <c r="E6" s="7">
        <v>0.228</v>
      </c>
      <c r="F6" s="7">
        <v>50.8</v>
      </c>
    </row>
    <row r="7" spans="1:4" ht="12.75">
      <c r="A7" s="1"/>
      <c r="B7" s="13"/>
      <c r="D7" s="2"/>
    </row>
    <row r="8" spans="1:4" ht="12.75">
      <c r="A8" s="1"/>
      <c r="B8" s="13"/>
      <c r="D8" s="2" t="s">
        <v>8</v>
      </c>
    </row>
    <row r="9" spans="1:5" ht="12.75">
      <c r="A9" s="1"/>
      <c r="B9" s="13" t="s">
        <v>105</v>
      </c>
      <c r="D9" t="s">
        <v>106</v>
      </c>
      <c r="E9" t="s">
        <v>203</v>
      </c>
    </row>
    <row r="10" spans="1:5" ht="12.75">
      <c r="A10" s="1"/>
      <c r="B10" s="13">
        <f>$D10*E10</f>
        <v>3.28662</v>
      </c>
      <c r="D10" s="14">
        <v>0.279</v>
      </c>
      <c r="E10" s="7">
        <v>11.78</v>
      </c>
    </row>
    <row r="11" spans="1:4" ht="12.75">
      <c r="A11" s="1"/>
      <c r="B11" s="13"/>
      <c r="D11" s="2"/>
    </row>
    <row r="12" spans="1:4" ht="12.75">
      <c r="A12" s="1"/>
      <c r="B12" s="13"/>
      <c r="D12" s="2" t="s">
        <v>9</v>
      </c>
    </row>
    <row r="13" spans="1:5" ht="12.75">
      <c r="A13" s="1"/>
      <c r="B13" s="13" t="s">
        <v>204</v>
      </c>
      <c r="D13" t="s">
        <v>104</v>
      </c>
      <c r="E13" t="s">
        <v>205</v>
      </c>
    </row>
    <row r="14" spans="1:5" ht="12.75">
      <c r="A14" s="1"/>
      <c r="B14" s="10">
        <f>$E14*$D14</f>
        <v>59.69</v>
      </c>
      <c r="D14" s="7">
        <v>1.27</v>
      </c>
      <c r="E14" s="7">
        <v>47</v>
      </c>
    </row>
    <row r="15" spans="1:5" ht="12.75">
      <c r="A15" s="1"/>
      <c r="B15" s="10" t="s">
        <v>104</v>
      </c>
      <c r="D15" t="s">
        <v>206</v>
      </c>
      <c r="E15" t="s">
        <v>205</v>
      </c>
    </row>
    <row r="16" spans="1:5" ht="12.75">
      <c r="A16" s="1"/>
      <c r="B16" s="10">
        <f>$D16/$E16</f>
        <v>1.27</v>
      </c>
      <c r="D16" s="7">
        <v>59.69</v>
      </c>
      <c r="E16" s="7">
        <v>47</v>
      </c>
    </row>
    <row r="17" spans="1:5" ht="12.75">
      <c r="A17" s="1"/>
      <c r="B17" s="10" t="s">
        <v>205</v>
      </c>
      <c r="D17" t="s">
        <v>206</v>
      </c>
      <c r="E17" s="5" t="s">
        <v>104</v>
      </c>
    </row>
    <row r="18" spans="1:5" ht="12.75">
      <c r="A18" s="1"/>
      <c r="B18" s="10">
        <f>$D18/$E18</f>
        <v>47</v>
      </c>
      <c r="D18" s="7">
        <v>59.69</v>
      </c>
      <c r="E18" s="7">
        <v>1.27</v>
      </c>
    </row>
    <row r="19" spans="1:2" ht="12.75">
      <c r="A19" s="1"/>
      <c r="B19" s="10"/>
    </row>
    <row r="20" spans="1:4" ht="12.75">
      <c r="A20" s="1"/>
      <c r="B20" s="10"/>
      <c r="D20" s="2" t="s">
        <v>10</v>
      </c>
    </row>
    <row r="21" spans="1:5" ht="12.75">
      <c r="A21" s="1"/>
      <c r="B21" s="10" t="s">
        <v>267</v>
      </c>
      <c r="D21" s="15" t="s">
        <v>268</v>
      </c>
      <c r="E21" s="5" t="s">
        <v>269</v>
      </c>
    </row>
    <row r="22" spans="1:5" ht="12.75">
      <c r="A22" s="1"/>
      <c r="B22" s="16">
        <f>E22/D22</f>
        <v>90</v>
      </c>
      <c r="C22" s="17"/>
      <c r="D22" s="14">
        <v>0.5</v>
      </c>
      <c r="E22" s="14">
        <v>45</v>
      </c>
    </row>
    <row r="23" spans="1:4" ht="12.75">
      <c r="A23" s="1"/>
      <c r="B23" s="10"/>
      <c r="D23" s="2"/>
    </row>
    <row r="24" spans="1:4" ht="12.75">
      <c r="A24" s="1"/>
      <c r="B24" s="13"/>
      <c r="D24" s="2" t="s">
        <v>136</v>
      </c>
    </row>
    <row r="25" spans="1:4" ht="12.75">
      <c r="A25" s="1"/>
      <c r="B25" s="13"/>
      <c r="D25" t="s">
        <v>143</v>
      </c>
    </row>
    <row r="26" spans="1:5" ht="12.75">
      <c r="A26" s="1"/>
      <c r="B26" s="13" t="s">
        <v>144</v>
      </c>
      <c r="D26" s="5" t="s">
        <v>145</v>
      </c>
      <c r="E26" s="5" t="s">
        <v>146</v>
      </c>
    </row>
    <row r="27" spans="1:5" ht="12.75">
      <c r="A27" s="1"/>
      <c r="B27" s="13">
        <f>$D27-(2*$E27)</f>
        <v>0.045</v>
      </c>
      <c r="D27" s="7">
        <v>0.125</v>
      </c>
      <c r="E27" s="7">
        <v>0.04</v>
      </c>
    </row>
    <row r="28" spans="1:5" ht="12.75">
      <c r="A28" s="1"/>
      <c r="B28" s="13" t="s">
        <v>276</v>
      </c>
      <c r="D28" s="5"/>
      <c r="E28" s="5"/>
    </row>
    <row r="29" spans="1:5" ht="12.75">
      <c r="A29" s="1"/>
      <c r="B29" s="13">
        <f>B27*25.4</f>
        <v>1.1429999999999998</v>
      </c>
      <c r="D29" s="5"/>
      <c r="E29" s="5"/>
    </row>
    <row r="30" ht="9" customHeight="1">
      <c r="A30" s="1"/>
    </row>
    <row r="31" spans="1:5" ht="12.75">
      <c r="A31" s="1"/>
      <c r="B31" s="13"/>
      <c r="E31" s="5"/>
    </row>
    <row r="32" spans="1:4" ht="12.75">
      <c r="A32" s="1"/>
      <c r="B32" s="13"/>
      <c r="D32" s="2" t="s">
        <v>216</v>
      </c>
    </row>
    <row r="33" spans="1:7" ht="12.75">
      <c r="A33" s="1"/>
      <c r="B33" s="13" t="s">
        <v>111</v>
      </c>
      <c r="D33" t="s">
        <v>112</v>
      </c>
      <c r="E33" t="s">
        <v>113</v>
      </c>
      <c r="F33" t="s">
        <v>180</v>
      </c>
      <c r="G33" t="s">
        <v>181</v>
      </c>
    </row>
    <row r="34" spans="1:7" ht="12.75">
      <c r="A34" s="1"/>
      <c r="B34" s="13">
        <f>((D34*(D36*0.01))+(E34*(E36*0.01))+(F34*(F36*0.01))+(G34*(G36*0.01)))*D38</f>
        <v>0.00615164589</v>
      </c>
      <c r="D34" s="7">
        <v>3.8</v>
      </c>
      <c r="E34" s="7">
        <v>5.91</v>
      </c>
      <c r="F34" s="7">
        <v>65.4</v>
      </c>
      <c r="G34" s="7">
        <v>0</v>
      </c>
    </row>
    <row r="35" spans="1:7" ht="12.75">
      <c r="A35" s="1"/>
      <c r="B35" s="13"/>
      <c r="D35" s="5" t="s">
        <v>182</v>
      </c>
      <c r="E35" s="5" t="s">
        <v>183</v>
      </c>
      <c r="F35" s="5" t="s">
        <v>184</v>
      </c>
      <c r="G35" s="5" t="s">
        <v>95</v>
      </c>
    </row>
    <row r="36" spans="1:7" ht="12.75">
      <c r="A36" s="1"/>
      <c r="B36" s="13"/>
      <c r="D36" s="7">
        <v>75.6</v>
      </c>
      <c r="E36" s="7">
        <v>23.1</v>
      </c>
      <c r="F36" s="7">
        <v>1.3</v>
      </c>
      <c r="G36" s="7">
        <v>0</v>
      </c>
    </row>
    <row r="37" spans="1:4" ht="12.75">
      <c r="A37" s="1"/>
      <c r="B37" s="13"/>
      <c r="D37" t="s">
        <v>96</v>
      </c>
    </row>
    <row r="38" spans="1:4" ht="12.75">
      <c r="A38" s="1"/>
      <c r="B38" s="13"/>
      <c r="D38" s="7">
        <v>0.001209</v>
      </c>
    </row>
    <row r="39" spans="1:2" ht="12.75">
      <c r="A39" s="1"/>
      <c r="B39" s="13"/>
    </row>
    <row r="40" spans="1:5" ht="12.75">
      <c r="A40" s="1"/>
      <c r="B40" s="13"/>
      <c r="D40" s="2" t="s">
        <v>217</v>
      </c>
      <c r="E40" s="5"/>
    </row>
    <row r="41" spans="1:6" ht="12.75">
      <c r="A41" s="1"/>
      <c r="B41" s="13" t="s">
        <v>97</v>
      </c>
      <c r="D41" s="5" t="s">
        <v>98</v>
      </c>
      <c r="E41" s="5" t="s">
        <v>99</v>
      </c>
      <c r="F41" t="s">
        <v>234</v>
      </c>
    </row>
    <row r="42" spans="1:6" ht="12.75">
      <c r="A42" s="1"/>
      <c r="B42" s="23">
        <f>(D42*E42)/F42</f>
        <v>0.0035714285714285713</v>
      </c>
      <c r="D42" s="7">
        <v>0.5</v>
      </c>
      <c r="E42" s="7">
        <v>0.3</v>
      </c>
      <c r="F42" s="7">
        <v>42</v>
      </c>
    </row>
    <row r="43" spans="1:6" ht="12.75">
      <c r="A43" s="1"/>
      <c r="B43" s="6" t="s">
        <v>235</v>
      </c>
      <c r="D43" s="5" t="s">
        <v>97</v>
      </c>
      <c r="E43" s="5" t="s">
        <v>98</v>
      </c>
      <c r="F43" t="s">
        <v>234</v>
      </c>
    </row>
    <row r="44" spans="1:6" ht="12.75">
      <c r="A44" s="1"/>
      <c r="B44" s="6">
        <f>(D44*F44)/E44</f>
        <v>0.42</v>
      </c>
      <c r="D44" s="7">
        <v>0.005</v>
      </c>
      <c r="E44" s="7">
        <v>0.5</v>
      </c>
      <c r="F44" s="7">
        <v>42</v>
      </c>
    </row>
    <row r="45" spans="1:5" ht="12.75">
      <c r="A45" s="1"/>
      <c r="B45" s="6" t="s">
        <v>236</v>
      </c>
      <c r="D45" s="5" t="s">
        <v>99</v>
      </c>
      <c r="E45" s="19" t="s">
        <v>237</v>
      </c>
    </row>
    <row r="46" spans="1:5" ht="12.75">
      <c r="A46" s="1"/>
      <c r="B46" s="6">
        <f>D46/E46</f>
        <v>0.3</v>
      </c>
      <c r="D46" s="7">
        <v>0.3</v>
      </c>
      <c r="E46" s="7">
        <v>1</v>
      </c>
    </row>
    <row r="47" spans="1:5" ht="12.75">
      <c r="A47" s="1"/>
      <c r="B47" s="10" t="s">
        <v>238</v>
      </c>
      <c r="D47" s="5" t="s">
        <v>239</v>
      </c>
      <c r="E47" s="5" t="s">
        <v>236</v>
      </c>
    </row>
    <row r="48" spans="1:5" ht="12.75">
      <c r="A48" s="1"/>
      <c r="B48" s="6">
        <f>D48/E48</f>
        <v>33.333333333333336</v>
      </c>
      <c r="C48" s="5"/>
      <c r="D48" s="7">
        <v>10</v>
      </c>
      <c r="E48" s="7">
        <v>0.3</v>
      </c>
    </row>
    <row r="49" spans="1:2" ht="12.75">
      <c r="A49" s="1"/>
      <c r="B49" s="10" t="s">
        <v>240</v>
      </c>
    </row>
    <row r="50" spans="1:2" ht="12.75">
      <c r="A50" s="1"/>
      <c r="B50" s="6">
        <f>(D48/E48)/60</f>
        <v>0.5555555555555556</v>
      </c>
    </row>
    <row r="51" spans="1:4" ht="12.75">
      <c r="A51" s="1"/>
      <c r="B51" s="12"/>
      <c r="D51" s="2" t="s">
        <v>218</v>
      </c>
    </row>
    <row r="52" spans="1:6" ht="12.75">
      <c r="A52" s="1"/>
      <c r="B52" s="10" t="s">
        <v>241</v>
      </c>
      <c r="D52" s="5" t="s">
        <v>225</v>
      </c>
      <c r="E52" s="5" t="s">
        <v>226</v>
      </c>
      <c r="F52" s="5" t="s">
        <v>85</v>
      </c>
    </row>
    <row r="53" spans="1:6" ht="12.75">
      <c r="A53" s="1"/>
      <c r="B53" s="10">
        <f>($E53/$D53)*$F53</f>
        <v>0.5</v>
      </c>
      <c r="D53" s="7">
        <v>2</v>
      </c>
      <c r="E53" s="7">
        <v>1</v>
      </c>
      <c r="F53" s="7">
        <v>1</v>
      </c>
    </row>
    <row r="54" ht="12.75">
      <c r="A54" s="1"/>
    </row>
    <row r="55" spans="1:4" ht="12.75">
      <c r="A55" s="1"/>
      <c r="D55" s="2" t="s">
        <v>220</v>
      </c>
    </row>
    <row r="56" spans="1:4" ht="12.75">
      <c r="A56" s="1"/>
      <c r="B56" s="20" t="s">
        <v>282</v>
      </c>
      <c r="D56" s="5" t="s">
        <v>283</v>
      </c>
    </row>
    <row r="57" spans="1:4" ht="12.75">
      <c r="A57" s="1"/>
      <c r="B57" s="62">
        <f>(3.1416/6)*D57^3</f>
        <v>0.06545</v>
      </c>
      <c r="D57" s="7">
        <v>0.5</v>
      </c>
    </row>
    <row r="58" spans="1:4" ht="12.75">
      <c r="A58" s="1"/>
      <c r="D58" s="5"/>
    </row>
    <row r="60" ht="12.75">
      <c r="D60" s="2" t="s">
        <v>140</v>
      </c>
    </row>
    <row r="61" spans="2:4" ht="12.75">
      <c r="B61" t="s">
        <v>141</v>
      </c>
      <c r="D61" s="5" t="s">
        <v>142</v>
      </c>
    </row>
    <row r="62" spans="2:4" ht="12.75">
      <c r="B62" s="61">
        <f>((D62/2)^2)*3.1416</f>
        <v>0.012271875</v>
      </c>
      <c r="D62" s="7">
        <v>0.125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showGridLines="0" showRowColHeaders="0" workbookViewId="0" topLeftCell="A1">
      <selection activeCell="E9" sqref="E9"/>
    </sheetView>
  </sheetViews>
  <sheetFormatPr defaultColWidth="9.00390625" defaultRowHeight="12.75"/>
  <cols>
    <col min="1" max="1" width="6.125" style="0" customWidth="1"/>
    <col min="2" max="3" width="11.375" style="0" customWidth="1"/>
    <col min="4" max="4" width="19.75390625" style="0" customWidth="1"/>
    <col min="5" max="5" width="16.625" style="0" customWidth="1"/>
    <col min="6" max="6" width="18.75390625" style="0" customWidth="1"/>
    <col min="7" max="16384" width="11.375" style="0" customWidth="1"/>
  </cols>
  <sheetData>
    <row r="2" spans="2:3" ht="12.75">
      <c r="B2" s="2" t="s">
        <v>82</v>
      </c>
      <c r="C2" s="2"/>
    </row>
    <row r="3" spans="3:7" ht="12.75">
      <c r="C3" s="2"/>
      <c r="G3" t="s">
        <v>101</v>
      </c>
    </row>
    <row r="7" spans="1:4" ht="12.75">
      <c r="A7" s="1"/>
      <c r="B7" s="18"/>
      <c r="D7" s="2" t="s">
        <v>137</v>
      </c>
    </row>
    <row r="8" spans="1:6" ht="12.75">
      <c r="A8" s="1"/>
      <c r="B8" s="10" t="s">
        <v>224</v>
      </c>
      <c r="D8" s="5" t="s">
        <v>225</v>
      </c>
      <c r="E8" s="5" t="s">
        <v>226</v>
      </c>
      <c r="F8" s="5" t="s">
        <v>227</v>
      </c>
    </row>
    <row r="9" spans="1:6" ht="12.75">
      <c r="A9" s="1"/>
      <c r="B9" s="10">
        <f>(($D9/$E9)^1.21)*$F9</f>
        <v>1.1359692189600326</v>
      </c>
      <c r="D9" s="7">
        <v>2</v>
      </c>
      <c r="E9" s="7">
        <v>1.8</v>
      </c>
      <c r="F9" s="7">
        <v>1</v>
      </c>
    </row>
    <row r="10" spans="1:6" ht="12.75">
      <c r="A10" s="1"/>
      <c r="B10" s="10"/>
      <c r="D10" s="31"/>
      <c r="E10" s="31"/>
      <c r="F10" s="31"/>
    </row>
    <row r="11" spans="1:6" ht="12.75">
      <c r="A11" s="1"/>
      <c r="B11" s="10"/>
      <c r="D11" s="31"/>
      <c r="E11" s="31"/>
      <c r="F11" s="31"/>
    </row>
    <row r="12" spans="1:6" ht="12.75">
      <c r="A12" s="1"/>
      <c r="B12" s="12"/>
      <c r="D12" s="5"/>
      <c r="E12" s="5"/>
      <c r="F12" s="5"/>
    </row>
    <row r="13" spans="1:6" ht="12.75">
      <c r="A13" s="1"/>
      <c r="B13" s="12"/>
      <c r="D13" s="5"/>
      <c r="E13" s="5"/>
      <c r="F13" s="5"/>
    </row>
    <row r="14" spans="1:6" ht="12.75">
      <c r="A14" s="1"/>
      <c r="B14" s="12"/>
      <c r="D14" s="3" t="s">
        <v>138</v>
      </c>
      <c r="E14" s="5"/>
      <c r="F14" s="5"/>
    </row>
    <row r="15" spans="1:6" ht="12.75">
      <c r="A15" s="1"/>
      <c r="B15" s="10" t="s">
        <v>62</v>
      </c>
      <c r="D15" s="5" t="s">
        <v>63</v>
      </c>
      <c r="E15" s="5" t="s">
        <v>64</v>
      </c>
      <c r="F15" s="5" t="s">
        <v>65</v>
      </c>
    </row>
    <row r="16" spans="1:6" ht="12.75">
      <c r="A16" s="1"/>
      <c r="B16" s="10">
        <f>($F16^2/$E16^2)*$D16</f>
        <v>67.5</v>
      </c>
      <c r="D16" s="7">
        <v>30</v>
      </c>
      <c r="E16" s="7">
        <v>36</v>
      </c>
      <c r="F16" s="7">
        <v>54</v>
      </c>
    </row>
    <row r="17" spans="1:6" ht="12.75">
      <c r="A17" s="1"/>
      <c r="B17" s="10"/>
      <c r="D17" s="31"/>
      <c r="E17" s="31"/>
      <c r="F17" s="31"/>
    </row>
    <row r="18" spans="1:6" ht="12.75">
      <c r="A18" s="1"/>
      <c r="B18" s="10"/>
      <c r="D18" s="31"/>
      <c r="E18" s="31"/>
      <c r="F18" s="31"/>
    </row>
    <row r="19" spans="1:6" ht="12.75">
      <c r="A19" s="1"/>
      <c r="B19" s="10"/>
      <c r="D19" s="31"/>
      <c r="E19" s="31"/>
      <c r="F19" s="31"/>
    </row>
    <row r="20" spans="1:6" ht="12.75">
      <c r="A20" s="1"/>
      <c r="B20" s="10"/>
      <c r="D20" s="5"/>
      <c r="E20" s="5"/>
      <c r="F20" s="5"/>
    </row>
    <row r="21" spans="1:6" ht="12.75">
      <c r="A21" s="1"/>
      <c r="D21" s="3" t="s">
        <v>139</v>
      </c>
      <c r="E21" s="5"/>
      <c r="F21" s="5"/>
    </row>
    <row r="22" spans="1:5" ht="12.75">
      <c r="A22" s="1"/>
      <c r="D22" s="5" t="s">
        <v>66</v>
      </c>
      <c r="E22" s="5" t="s">
        <v>63</v>
      </c>
    </row>
    <row r="23" spans="1:5" ht="12.75">
      <c r="A23" s="1"/>
      <c r="D23" s="7">
        <v>50</v>
      </c>
      <c r="E23" s="7">
        <v>1</v>
      </c>
    </row>
    <row r="24" spans="1:6" ht="12.75">
      <c r="A24" s="1"/>
      <c r="B24" s="10" t="s">
        <v>67</v>
      </c>
      <c r="D24" s="20" t="s">
        <v>158</v>
      </c>
      <c r="E24" s="5" t="s">
        <v>75</v>
      </c>
      <c r="F24" t="s">
        <v>76</v>
      </c>
    </row>
    <row r="25" spans="1:6" ht="12.75">
      <c r="A25" s="1"/>
      <c r="B25">
        <f>D23+(D23*0.2)</f>
        <v>60</v>
      </c>
      <c r="D25" s="5">
        <f>E23/2</f>
        <v>0.5</v>
      </c>
      <c r="E25" s="5">
        <f>D23-(D23*0.15)</f>
        <v>42.5</v>
      </c>
      <c r="F25" s="5">
        <f>E23*2</f>
        <v>2</v>
      </c>
    </row>
    <row r="26" spans="1:6" ht="12.75">
      <c r="A26" s="1"/>
      <c r="D26" s="5"/>
      <c r="E26" s="5"/>
      <c r="F26" s="5"/>
    </row>
    <row r="27" spans="1:6" ht="12.75">
      <c r="A27" s="1"/>
      <c r="D27" s="5"/>
      <c r="E27" s="5"/>
      <c r="F27" s="5"/>
    </row>
    <row r="30" spans="1:4" ht="12.75">
      <c r="A30" s="1"/>
      <c r="B30" s="10"/>
      <c r="D30" s="2" t="s">
        <v>4</v>
      </c>
    </row>
    <row r="31" spans="1:6" ht="12.75">
      <c r="A31" s="1"/>
      <c r="B31" s="10" t="s">
        <v>163</v>
      </c>
      <c r="D31" s="5" t="s">
        <v>164</v>
      </c>
      <c r="E31" s="5" t="s">
        <v>165</v>
      </c>
      <c r="F31" s="5" t="s">
        <v>166</v>
      </c>
    </row>
    <row r="32" spans="1:6" ht="12.75">
      <c r="A32" s="1"/>
      <c r="B32" s="10">
        <f>$D32*(($E32*$E32)/($F32*$F32))</f>
        <v>0.2835538752362949</v>
      </c>
      <c r="D32" s="7">
        <v>150</v>
      </c>
      <c r="E32" s="7">
        <v>1</v>
      </c>
      <c r="F32" s="7">
        <v>23</v>
      </c>
    </row>
    <row r="33" spans="1:6" ht="12.75">
      <c r="A33" s="1"/>
      <c r="B33" s="10" t="s">
        <v>167</v>
      </c>
      <c r="D33" s="5" t="s">
        <v>164</v>
      </c>
      <c r="E33" s="5" t="s">
        <v>168</v>
      </c>
      <c r="F33" s="5" t="s">
        <v>165</v>
      </c>
    </row>
    <row r="34" spans="1:6" ht="12.75">
      <c r="A34" s="1"/>
      <c r="B34" s="10">
        <f>SQRT(($D34*$F34^2)/$E34)</f>
        <v>327.32683535398854</v>
      </c>
      <c r="D34" s="7">
        <v>18000</v>
      </c>
      <c r="E34" s="7">
        <v>0.168</v>
      </c>
      <c r="F34" s="7">
        <v>1</v>
      </c>
    </row>
    <row r="35" spans="1:6" ht="12.75">
      <c r="A35" s="1"/>
      <c r="B35" s="10" t="s">
        <v>84</v>
      </c>
      <c r="D35" s="5" t="s">
        <v>168</v>
      </c>
      <c r="E35" s="5" t="s">
        <v>165</v>
      </c>
      <c r="F35" s="5" t="s">
        <v>177</v>
      </c>
    </row>
    <row r="36" spans="1:6" ht="12.75">
      <c r="A36" s="1"/>
      <c r="B36" s="10">
        <f>$D36*(($F36*$F36)/($E36*$E36))</f>
        <v>861.1093888888888</v>
      </c>
      <c r="D36" s="7">
        <v>80</v>
      </c>
      <c r="E36" s="7">
        <v>12</v>
      </c>
      <c r="F36" s="7">
        <v>39.37</v>
      </c>
    </row>
    <row r="37" spans="1:6" ht="12.75">
      <c r="A37" s="1"/>
      <c r="B37" s="10" t="s">
        <v>178</v>
      </c>
      <c r="D37" s="5" t="s">
        <v>164</v>
      </c>
      <c r="E37" s="5" t="s">
        <v>168</v>
      </c>
      <c r="F37" s="5" t="s">
        <v>166</v>
      </c>
    </row>
    <row r="38" spans="1:6" ht="12.75">
      <c r="A38" s="1"/>
      <c r="B38" s="10">
        <f>SQRT($E38/$D38*($F38*$F38))</f>
        <v>43</v>
      </c>
      <c r="D38" s="7">
        <v>2.38</v>
      </c>
      <c r="E38" s="7">
        <v>2.38</v>
      </c>
      <c r="F38" s="7">
        <v>43</v>
      </c>
    </row>
    <row r="39" spans="1:2" ht="12.75">
      <c r="A39" s="1"/>
      <c r="B39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showGridLines="0" showRowColHeaders="0"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3" width="11.375" style="0" customWidth="1"/>
    <col min="4" max="4" width="19.25390625" style="0" customWidth="1"/>
    <col min="5" max="5" width="23.75390625" style="0" customWidth="1"/>
    <col min="6" max="6" width="15.125" style="0" customWidth="1"/>
    <col min="7" max="7" width="16.125" style="0" customWidth="1"/>
    <col min="8" max="16384" width="11.375" style="0" customWidth="1"/>
  </cols>
  <sheetData>
    <row r="2" spans="2:3" ht="12.75">
      <c r="B2" s="2" t="s">
        <v>82</v>
      </c>
      <c r="C2" s="2"/>
    </row>
    <row r="3" spans="3:7" ht="12.75">
      <c r="C3" s="2"/>
      <c r="G3" t="s">
        <v>259</v>
      </c>
    </row>
    <row r="4" ht="12.75">
      <c r="C4" s="2"/>
    </row>
    <row r="6" ht="12.75">
      <c r="D6" s="2" t="s">
        <v>59</v>
      </c>
    </row>
    <row r="7" spans="2:5" ht="12.75">
      <c r="B7" t="s">
        <v>60</v>
      </c>
      <c r="D7" s="5" t="s">
        <v>155</v>
      </c>
      <c r="E7" s="19" t="s">
        <v>61</v>
      </c>
    </row>
    <row r="8" spans="2:5" ht="12.75">
      <c r="B8" s="13">
        <f>ATAN(E8/D8)*180/PI()</f>
        <v>0.8951737102110744</v>
      </c>
      <c r="D8" s="37">
        <v>8</v>
      </c>
      <c r="E8" s="37">
        <v>0.125</v>
      </c>
    </row>
    <row r="9" spans="2:5" ht="12.75">
      <c r="B9" s="13"/>
      <c r="D9" s="47"/>
      <c r="E9" s="47"/>
    </row>
    <row r="10" spans="2:5" ht="12.75">
      <c r="B10" s="13" t="s">
        <v>278</v>
      </c>
      <c r="D10" s="47"/>
      <c r="E10" s="47"/>
    </row>
    <row r="11" spans="2:5" ht="12.75">
      <c r="B11" s="13" t="s">
        <v>157</v>
      </c>
      <c r="D11" s="47"/>
      <c r="E11" s="47"/>
    </row>
    <row r="12" spans="2:5" ht="12.75">
      <c r="B12" s="13"/>
      <c r="D12" s="47"/>
      <c r="E12" s="47"/>
    </row>
    <row r="13" spans="2:6" ht="12.75">
      <c r="B13" s="13" t="s">
        <v>6</v>
      </c>
      <c r="D13" s="5" t="s">
        <v>155</v>
      </c>
      <c r="E13" s="19" t="s">
        <v>61</v>
      </c>
      <c r="F13" s="20" t="s">
        <v>156</v>
      </c>
    </row>
    <row r="14" spans="2:6" ht="12.75">
      <c r="B14" s="13">
        <f>(ATAN(E14/2)/(D14/2))*F14/2</f>
        <v>0.05851763437121001</v>
      </c>
      <c r="D14" s="37">
        <v>8</v>
      </c>
      <c r="E14" s="37">
        <v>0.125</v>
      </c>
      <c r="F14" s="37">
        <v>7.5</v>
      </c>
    </row>
    <row r="15" spans="2:5" ht="12.75">
      <c r="B15" s="13"/>
      <c r="D15" s="47"/>
      <c r="E15" s="47"/>
    </row>
    <row r="16" ht="12.75">
      <c r="F16" s="20"/>
    </row>
    <row r="17" spans="1:2" ht="12.75">
      <c r="A17" s="1"/>
      <c r="B17" s="13"/>
    </row>
    <row r="18" spans="1:4" ht="12.75">
      <c r="A18" s="1"/>
      <c r="B18" s="13" t="s">
        <v>89</v>
      </c>
      <c r="D18" s="2" t="s">
        <v>45</v>
      </c>
    </row>
    <row r="19" spans="1:6" ht="12.75">
      <c r="A19" s="1"/>
      <c r="B19" s="13" t="s">
        <v>90</v>
      </c>
      <c r="D19" t="s">
        <v>91</v>
      </c>
      <c r="E19" s="5" t="s">
        <v>155</v>
      </c>
      <c r="F19" s="19" t="s">
        <v>61</v>
      </c>
    </row>
    <row r="20" spans="1:6" ht="12.75">
      <c r="A20" s="1"/>
      <c r="B20" s="13">
        <f>($F20/$E20)*$D20</f>
        <v>0.14250000000000002</v>
      </c>
      <c r="D20" s="37">
        <v>45.6</v>
      </c>
      <c r="E20" s="37">
        <v>8</v>
      </c>
      <c r="F20" s="37">
        <v>0.025</v>
      </c>
    </row>
    <row r="27" ht="12.75">
      <c r="D27" s="2" t="s">
        <v>187</v>
      </c>
    </row>
    <row r="28" ht="12.75">
      <c r="E28" t="s">
        <v>212</v>
      </c>
    </row>
    <row r="29" spans="2:13" ht="12.75">
      <c r="B29" t="s">
        <v>214</v>
      </c>
      <c r="D29" s="5" t="s">
        <v>155</v>
      </c>
      <c r="E29" t="s">
        <v>213</v>
      </c>
      <c r="F29" t="s">
        <v>61</v>
      </c>
      <c r="M29" t="s">
        <v>215</v>
      </c>
    </row>
    <row r="30" spans="2:13" ht="12.75">
      <c r="B30" s="13">
        <f>ATAN(F30/M30)*180/PI()</f>
        <v>0.9022491271190864</v>
      </c>
      <c r="D30" s="37">
        <v>8</v>
      </c>
      <c r="E30" s="37">
        <v>3.5</v>
      </c>
      <c r="F30" s="7">
        <v>0.125</v>
      </c>
      <c r="M30">
        <f>2*(SQRT(((D30/2)^2)-(D30/2-E30)^2))</f>
        <v>7.937253933193772</v>
      </c>
    </row>
    <row r="31" spans="1:6" ht="12.75">
      <c r="A31" s="1"/>
      <c r="B31" s="13"/>
      <c r="D31" s="5"/>
      <c r="E31" s="5"/>
      <c r="F31" s="5"/>
    </row>
    <row r="32" spans="1:5" ht="12.75">
      <c r="A32" s="1"/>
      <c r="B32" s="13" t="s">
        <v>278</v>
      </c>
      <c r="D32" s="47"/>
      <c r="E32" s="47"/>
    </row>
    <row r="33" spans="1:5" ht="12.75">
      <c r="A33" s="1"/>
      <c r="B33" s="13" t="s">
        <v>157</v>
      </c>
      <c r="D33" s="47"/>
      <c r="E33" s="47"/>
    </row>
    <row r="34" spans="1:5" ht="12.75">
      <c r="A34" s="1"/>
      <c r="B34" s="13"/>
      <c r="D34" s="47"/>
      <c r="E34" s="47"/>
    </row>
    <row r="35" spans="1:6" ht="12.75">
      <c r="A35" s="1"/>
      <c r="B35" s="13"/>
      <c r="E35" t="s">
        <v>212</v>
      </c>
      <c r="F35" s="5" t="s">
        <v>7</v>
      </c>
    </row>
    <row r="36" spans="1:13" ht="12.75">
      <c r="A36" s="1"/>
      <c r="B36" s="13" t="s">
        <v>6</v>
      </c>
      <c r="D36" s="5" t="s">
        <v>155</v>
      </c>
      <c r="E36" t="s">
        <v>213</v>
      </c>
      <c r="F36" s="5" t="s">
        <v>189</v>
      </c>
      <c r="G36" s="20" t="s">
        <v>156</v>
      </c>
      <c r="M36" t="s">
        <v>215</v>
      </c>
    </row>
    <row r="37" spans="1:13" ht="12.75">
      <c r="A37" s="1"/>
      <c r="B37" s="13">
        <f>(ATAN((F37/2)/(M37/2))*((D37/2)/(G37/2))*G37/2)</f>
        <v>0.06454412003762201</v>
      </c>
      <c r="D37" s="37">
        <v>8</v>
      </c>
      <c r="E37" s="37">
        <v>3</v>
      </c>
      <c r="F37" s="7">
        <v>0.125</v>
      </c>
      <c r="G37" s="37">
        <v>7.5</v>
      </c>
      <c r="M37">
        <f>2*(SQRT(((D37/2)^2)-(D37/2-E37)^2))</f>
        <v>7.745966692414834</v>
      </c>
    </row>
    <row r="38" spans="1:5" ht="12.75">
      <c r="A38" s="1"/>
      <c r="B38" s="13"/>
      <c r="D38" s="47"/>
      <c r="E38" s="47"/>
    </row>
    <row r="40" spans="4:13" ht="12.75">
      <c r="D40" s="2" t="s">
        <v>188</v>
      </c>
      <c r="M40" s="10"/>
    </row>
    <row r="41" spans="5:6" ht="12.75">
      <c r="E41" t="s">
        <v>212</v>
      </c>
      <c r="F41" s="5" t="s">
        <v>190</v>
      </c>
    </row>
    <row r="42" spans="2:13" ht="12.75">
      <c r="B42" s="13" t="s">
        <v>26</v>
      </c>
      <c r="D42" s="5" t="s">
        <v>155</v>
      </c>
      <c r="E42" t="s">
        <v>213</v>
      </c>
      <c r="F42" s="5" t="s">
        <v>189</v>
      </c>
      <c r="G42" t="s">
        <v>27</v>
      </c>
      <c r="M42" t="s">
        <v>215</v>
      </c>
    </row>
    <row r="43" spans="2:13" ht="12.75">
      <c r="B43" s="13">
        <f>(F43/M43)*G43</f>
        <v>0.14250000000000002</v>
      </c>
      <c r="D43" s="37">
        <v>8</v>
      </c>
      <c r="E43" s="37">
        <v>4</v>
      </c>
      <c r="F43" s="7">
        <v>0.025</v>
      </c>
      <c r="G43" s="37">
        <v>45.6</v>
      </c>
      <c r="M43">
        <f>2*(SQRT(((D43/2)^2)-(D43/2-E43)^2))</f>
        <v>8</v>
      </c>
    </row>
    <row r="48" spans="1:2" ht="12.75">
      <c r="A48" s="1"/>
      <c r="B48" s="13"/>
    </row>
    <row r="49" spans="1:4" ht="12.75">
      <c r="A49" s="1"/>
      <c r="B49" s="18" t="s">
        <v>18</v>
      </c>
      <c r="D49" s="2" t="s">
        <v>44</v>
      </c>
    </row>
    <row r="50" spans="1:6" ht="12.75">
      <c r="A50" s="1"/>
      <c r="B50" s="18" t="s">
        <v>19</v>
      </c>
      <c r="D50" t="s">
        <v>20</v>
      </c>
      <c r="E50" t="s">
        <v>37</v>
      </c>
      <c r="F50" t="s">
        <v>185</v>
      </c>
    </row>
    <row r="51" spans="1:6" ht="12.75">
      <c r="A51" s="1"/>
      <c r="B51" s="13">
        <f>($D51*$F51)/$E51</f>
        <v>0.02666666666666667</v>
      </c>
      <c r="D51" s="37">
        <v>0.05</v>
      </c>
      <c r="E51" s="37">
        <v>4.6875</v>
      </c>
      <c r="F51" s="7">
        <v>2.5</v>
      </c>
    </row>
    <row r="52" spans="1:6" ht="12.75">
      <c r="A52" s="1"/>
      <c r="B52" s="13"/>
      <c r="D52" s="5"/>
      <c r="E52" s="5"/>
      <c r="F52" s="5"/>
    </row>
    <row r="53" spans="1:6" ht="12.75">
      <c r="A53" s="1"/>
      <c r="B53" s="13"/>
      <c r="D53" s="5"/>
      <c r="E53" s="5"/>
      <c r="F53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46"/>
  <sheetViews>
    <sheetView showGridLines="0" showRowColHeaders="0" workbookViewId="0" topLeftCell="A11">
      <selection activeCell="H42" sqref="H42"/>
    </sheetView>
  </sheetViews>
  <sheetFormatPr defaultColWidth="9.00390625" defaultRowHeight="12.75"/>
  <cols>
    <col min="1" max="2" width="11.375" style="0" customWidth="1"/>
    <col min="3" max="3" width="4.75390625" style="0" customWidth="1"/>
    <col min="4" max="4" width="11.375" style="0" customWidth="1"/>
    <col min="5" max="5" width="16.875" style="0" customWidth="1"/>
    <col min="6" max="6" width="14.625" style="0" customWidth="1"/>
    <col min="7" max="16384" width="11.375" style="0" customWidth="1"/>
  </cols>
  <sheetData>
    <row r="3" ht="12.75">
      <c r="B3" s="2" t="s">
        <v>82</v>
      </c>
    </row>
    <row r="4" ht="12.75">
      <c r="H4" t="s">
        <v>120</v>
      </c>
    </row>
    <row r="16" ht="12.75">
      <c r="B16" s="49"/>
    </row>
    <row r="36" ht="12.75">
      <c r="H36" s="56"/>
    </row>
    <row r="39" ht="12.75">
      <c r="D39" s="3" t="s">
        <v>151</v>
      </c>
    </row>
    <row r="40" ht="12.75">
      <c r="F40" s="5" t="s">
        <v>254</v>
      </c>
    </row>
    <row r="41" spans="2:8" ht="12.75">
      <c r="B41" s="50" t="s">
        <v>262</v>
      </c>
      <c r="F41" s="5" t="s">
        <v>152</v>
      </c>
      <c r="H41" t="s">
        <v>255</v>
      </c>
    </row>
    <row r="42" spans="2:8" ht="12.75">
      <c r="B42" s="51">
        <f>H42*2</f>
        <v>0.2</v>
      </c>
      <c r="F42" s="37">
        <v>30</v>
      </c>
      <c r="H42" s="37">
        <v>0.1</v>
      </c>
    </row>
    <row r="43" ht="12.75">
      <c r="B43" s="52" t="s">
        <v>263</v>
      </c>
    </row>
    <row r="44" spans="2:6" ht="12.75">
      <c r="B44" s="53">
        <f>2*(SQRT(((F42/2)^2)-(F42/2-H42)^2))</f>
        <v>3.4583232931581054</v>
      </c>
      <c r="F44" s="2" t="s">
        <v>108</v>
      </c>
    </row>
    <row r="45" spans="2:6" ht="12.75">
      <c r="B45" s="55" t="s">
        <v>100</v>
      </c>
      <c r="F45" t="s">
        <v>107</v>
      </c>
    </row>
    <row r="46" spans="2:6" ht="12.75">
      <c r="B46" s="54">
        <f>2*(SQRT(((F42/2)^2)-(F42/2-(H42/2))^2))</f>
        <v>2.4474476501041087</v>
      </c>
      <c r="F46" s="48" t="s">
        <v>121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7"/>
  <sheetViews>
    <sheetView showGridLines="0" showRowColHeaders="0" workbookViewId="0" topLeftCell="A10">
      <selection activeCell="D17" sqref="D17"/>
    </sheetView>
  </sheetViews>
  <sheetFormatPr defaultColWidth="9.00390625" defaultRowHeight="12.75"/>
  <cols>
    <col min="1" max="1" width="12.375" style="0" customWidth="1"/>
    <col min="2" max="2" width="13.75390625" style="0" customWidth="1"/>
    <col min="3" max="4" width="16.00390625" style="0" customWidth="1"/>
    <col min="5" max="5" width="17.00390625" style="0" customWidth="1"/>
    <col min="6" max="6" width="15.75390625" style="0" customWidth="1"/>
    <col min="7" max="7" width="13.875" style="0" customWidth="1"/>
    <col min="8" max="16384" width="12.375" style="0" customWidth="1"/>
  </cols>
  <sheetData>
    <row r="3" spans="2:3" ht="12.75">
      <c r="B3" s="2" t="s">
        <v>82</v>
      </c>
      <c r="C3" s="2"/>
    </row>
    <row r="4" spans="3:7" ht="12.75">
      <c r="C4" s="2"/>
      <c r="G4" t="s">
        <v>257</v>
      </c>
    </row>
    <row r="7" spans="2:4" ht="12.75">
      <c r="B7" s="10"/>
      <c r="D7" s="2" t="s">
        <v>11</v>
      </c>
    </row>
    <row r="8" spans="2:4" ht="12.75">
      <c r="B8" s="10" t="s">
        <v>270</v>
      </c>
      <c r="D8" t="s">
        <v>271</v>
      </c>
    </row>
    <row r="9" spans="2:4" ht="12.75">
      <c r="B9" s="10">
        <f>0.693/$D9</f>
        <v>0.35</v>
      </c>
      <c r="D9" s="7">
        <v>1.98</v>
      </c>
    </row>
    <row r="10" spans="2:4" ht="12.75">
      <c r="B10" s="10" t="s">
        <v>272</v>
      </c>
      <c r="D10" s="2"/>
    </row>
    <row r="11" spans="2:4" ht="12.75">
      <c r="B11" s="10">
        <f>(0.693/$D9)/2.54</f>
        <v>0.13779527559055116</v>
      </c>
      <c r="D11" s="2"/>
    </row>
    <row r="15" spans="2:4" ht="12.75">
      <c r="B15" s="10"/>
      <c r="D15" s="2" t="s">
        <v>12</v>
      </c>
    </row>
    <row r="16" spans="1:4" ht="12.75">
      <c r="A16" s="1"/>
      <c r="B16" s="10" t="s">
        <v>273</v>
      </c>
      <c r="D16" t="s">
        <v>105</v>
      </c>
    </row>
    <row r="17" spans="1:4" ht="12.75">
      <c r="A17" s="1"/>
      <c r="B17" s="10">
        <f>2.303/$D17</f>
        <v>10.100877192982455</v>
      </c>
      <c r="D17" s="7">
        <v>0.228</v>
      </c>
    </row>
    <row r="18" spans="1:2" ht="12.75">
      <c r="A18" s="1"/>
      <c r="B18" s="10" t="s">
        <v>274</v>
      </c>
    </row>
    <row r="19" spans="1:2" ht="12.75">
      <c r="A19" s="1"/>
      <c r="B19" s="10">
        <f>(2.303/$D17)/2.54</f>
        <v>3.9767233043238015</v>
      </c>
    </row>
    <row r="20" ht="12.75">
      <c r="A20" s="1"/>
    </row>
    <row r="21" ht="12.75">
      <c r="A21" s="1"/>
    </row>
    <row r="24" ht="15.75">
      <c r="B24" s="35" t="s">
        <v>41</v>
      </c>
    </row>
    <row r="25" spans="1:8" ht="12.75">
      <c r="A25" s="1"/>
      <c r="B25" s="59" t="s">
        <v>169</v>
      </c>
      <c r="C25" s="59" t="s">
        <v>38</v>
      </c>
      <c r="D25" s="59" t="s">
        <v>39</v>
      </c>
      <c r="E25" s="59" t="s">
        <v>42</v>
      </c>
      <c r="F25" s="59" t="s">
        <v>202</v>
      </c>
      <c r="G25" s="59" t="s">
        <v>40</v>
      </c>
      <c r="H25" s="59" t="s">
        <v>211</v>
      </c>
    </row>
    <row r="26" spans="1:8" ht="12.75">
      <c r="A26" s="1"/>
      <c r="B26" s="5" t="s">
        <v>175</v>
      </c>
      <c r="C26" s="23">
        <v>0.8</v>
      </c>
      <c r="D26" s="23">
        <v>2.64</v>
      </c>
      <c r="E26" s="23">
        <v>0.1</v>
      </c>
      <c r="F26" s="23">
        <v>0.33</v>
      </c>
      <c r="G26" s="23">
        <v>0.011</v>
      </c>
      <c r="H26" s="23">
        <v>0.0363</v>
      </c>
    </row>
    <row r="27" spans="1:8" ht="12.75">
      <c r="A27" s="1"/>
      <c r="B27" s="5" t="s">
        <v>176</v>
      </c>
      <c r="C27" s="23">
        <v>0.88</v>
      </c>
      <c r="D27" s="23">
        <v>2.9</v>
      </c>
      <c r="E27" s="23">
        <v>0.14</v>
      </c>
      <c r="F27" s="23">
        <v>0.462</v>
      </c>
      <c r="G27" s="23">
        <v>0.011</v>
      </c>
      <c r="H27" s="23">
        <v>0.0363</v>
      </c>
    </row>
    <row r="28" spans="1:8" ht="12.75">
      <c r="A28" s="1"/>
      <c r="B28" s="5" t="s">
        <v>186</v>
      </c>
      <c r="C28" s="23">
        <v>1</v>
      </c>
      <c r="D28" s="23">
        <v>3.3</v>
      </c>
      <c r="E28" s="23">
        <v>0.2</v>
      </c>
      <c r="F28" s="23">
        <v>0.66</v>
      </c>
      <c r="G28" s="23">
        <v>0.019</v>
      </c>
      <c r="H28" s="23">
        <v>0.0627</v>
      </c>
    </row>
    <row r="29" spans="1:8" ht="12.75">
      <c r="A29" s="1"/>
      <c r="B29" s="5" t="s">
        <v>174</v>
      </c>
      <c r="C29" s="23">
        <v>1.1</v>
      </c>
      <c r="D29" s="23">
        <v>3.63</v>
      </c>
      <c r="E29" s="23">
        <v>0.25</v>
      </c>
      <c r="F29" s="23">
        <v>0.825</v>
      </c>
      <c r="G29" s="23">
        <v>0.035</v>
      </c>
      <c r="H29" s="23">
        <v>0.116</v>
      </c>
    </row>
    <row r="30" spans="1:8" ht="12.75">
      <c r="A30" s="1"/>
      <c r="B30" s="5" t="s">
        <v>170</v>
      </c>
      <c r="C30" s="23">
        <v>1.3</v>
      </c>
      <c r="D30" s="23">
        <v>4.29</v>
      </c>
      <c r="E30" s="23">
        <v>0.35</v>
      </c>
      <c r="F30" s="23">
        <v>1.15</v>
      </c>
      <c r="G30" s="23">
        <v>0.087</v>
      </c>
      <c r="H30" s="23">
        <v>0.287</v>
      </c>
    </row>
    <row r="31" spans="2:8" ht="12.75">
      <c r="B31" s="5" t="s">
        <v>172</v>
      </c>
      <c r="C31" s="23">
        <v>2.5</v>
      </c>
      <c r="D31" s="23">
        <v>8.25</v>
      </c>
      <c r="E31" s="23">
        <v>0.8</v>
      </c>
      <c r="F31" s="23">
        <v>2.64</v>
      </c>
      <c r="G31" s="23">
        <v>0.5</v>
      </c>
      <c r="H31" s="23">
        <v>1.65</v>
      </c>
    </row>
    <row r="32" spans="2:8" ht="12.75">
      <c r="B32" s="5" t="s">
        <v>171</v>
      </c>
      <c r="C32" s="23">
        <v>3.6</v>
      </c>
      <c r="D32" s="23">
        <v>11.88</v>
      </c>
      <c r="E32" s="23">
        <v>1</v>
      </c>
      <c r="F32" s="23">
        <v>3.3</v>
      </c>
      <c r="G32" s="23">
        <v>0.65</v>
      </c>
      <c r="H32" s="23">
        <v>2.14</v>
      </c>
    </row>
    <row r="33" spans="2:8" ht="12.75">
      <c r="B33" s="5" t="s">
        <v>173</v>
      </c>
      <c r="C33" s="23">
        <v>4.57</v>
      </c>
      <c r="D33" s="23">
        <v>15</v>
      </c>
      <c r="E33" s="23">
        <v>1.25</v>
      </c>
      <c r="F33" s="23">
        <v>4.125</v>
      </c>
      <c r="G33" s="23">
        <v>0.65</v>
      </c>
      <c r="H33" s="23">
        <v>2.14</v>
      </c>
    </row>
    <row r="37" spans="4:5" ht="12.75">
      <c r="D37" s="5"/>
      <c r="E37" s="60"/>
    </row>
    <row r="38" spans="2:6" ht="12.75">
      <c r="B38" s="10"/>
      <c r="D38" s="2" t="s">
        <v>50</v>
      </c>
      <c r="F38" s="5"/>
    </row>
    <row r="39" spans="4:7" ht="12.75">
      <c r="D39" s="17" t="s">
        <v>70</v>
      </c>
      <c r="E39" t="s">
        <v>71</v>
      </c>
      <c r="F39" s="5" t="s">
        <v>246</v>
      </c>
      <c r="G39" t="s">
        <v>247</v>
      </c>
    </row>
    <row r="40" spans="4:7" ht="12.75">
      <c r="D40" t="s">
        <v>248</v>
      </c>
      <c r="E40" t="s">
        <v>249</v>
      </c>
      <c r="F40" t="s">
        <v>248</v>
      </c>
      <c r="G40" t="s">
        <v>250</v>
      </c>
    </row>
    <row r="41" spans="2:7" ht="12.75">
      <c r="B41" s="10" t="s">
        <v>207</v>
      </c>
      <c r="D41" s="7">
        <v>7.87</v>
      </c>
      <c r="E41" s="7">
        <v>0.334</v>
      </c>
      <c r="F41" s="7">
        <v>16.6</v>
      </c>
      <c r="G41" s="7">
        <v>0.73</v>
      </c>
    </row>
    <row r="42" spans="2:6" ht="12.75">
      <c r="B42" s="10" t="s">
        <v>208</v>
      </c>
      <c r="D42" t="s">
        <v>115</v>
      </c>
      <c r="F42" s="5"/>
    </row>
    <row r="43" spans="2:6" ht="12.75">
      <c r="B43" t="s">
        <v>116</v>
      </c>
      <c r="D43" s="14">
        <v>1</v>
      </c>
      <c r="F43" s="5"/>
    </row>
    <row r="44" spans="4:6" ht="12.75">
      <c r="D44" s="31"/>
      <c r="E44" s="31"/>
      <c r="F44" s="31"/>
    </row>
    <row r="45" spans="2:3" ht="12.75">
      <c r="B45" s="13">
        <f>(F41/D41)*D43</f>
        <v>2.1092757306226178</v>
      </c>
      <c r="C45" s="10" t="s">
        <v>117</v>
      </c>
    </row>
    <row r="46" spans="2:5" ht="12.75">
      <c r="B46" s="13">
        <f>(G41/E41)*D43</f>
        <v>2.18562874251497</v>
      </c>
      <c r="C46" s="10" t="s">
        <v>118</v>
      </c>
      <c r="E46" s="31"/>
    </row>
    <row r="47" spans="2:5" ht="12.75">
      <c r="B47" s="13">
        <f>((G41*F41)/(E41*D41))*D43</f>
        <v>4.6100936627380555</v>
      </c>
      <c r="C47" s="10" t="s">
        <v>119</v>
      </c>
      <c r="E47" s="3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0"/>
  <sheetViews>
    <sheetView showGridLines="0" showRowColHeaders="0" workbookViewId="0" topLeftCell="A1">
      <selection activeCell="F12" sqref="F12"/>
    </sheetView>
  </sheetViews>
  <sheetFormatPr defaultColWidth="9.00390625" defaultRowHeight="12.75"/>
  <cols>
    <col min="1" max="3" width="11.375" style="0" customWidth="1"/>
    <col min="4" max="4" width="16.375" style="0" customWidth="1"/>
    <col min="5" max="5" width="19.00390625" style="0" customWidth="1"/>
    <col min="6" max="6" width="18.25390625" style="0" customWidth="1"/>
    <col min="7" max="16384" width="11.375" style="0" customWidth="1"/>
  </cols>
  <sheetData>
    <row r="2" spans="2:3" ht="12.75">
      <c r="B2" s="2" t="s">
        <v>82</v>
      </c>
      <c r="C2" s="2"/>
    </row>
    <row r="3" spans="3:7" ht="12.75">
      <c r="C3" s="2"/>
      <c r="G3" t="s">
        <v>1</v>
      </c>
    </row>
    <row r="10" spans="1:4" ht="12.75">
      <c r="A10" s="1"/>
      <c r="B10" s="13"/>
      <c r="D10" s="2" t="s">
        <v>305</v>
      </c>
    </row>
    <row r="11" spans="1:6" ht="12.75">
      <c r="A11" s="1"/>
      <c r="B11" s="13" t="s">
        <v>275</v>
      </c>
      <c r="D11" s="5" t="s">
        <v>74</v>
      </c>
      <c r="E11" s="5" t="s">
        <v>73</v>
      </c>
      <c r="F11" s="5" t="s">
        <v>72</v>
      </c>
    </row>
    <row r="12" spans="1:6" ht="12.75">
      <c r="A12" s="1"/>
      <c r="B12" s="63">
        <f>((($D12/25.4)*$E12)/($F12-$E12))</f>
        <v>0.0016753224995811693</v>
      </c>
      <c r="D12" s="7">
        <v>2</v>
      </c>
      <c r="E12" s="7">
        <v>6</v>
      </c>
      <c r="F12" s="7">
        <v>288</v>
      </c>
    </row>
    <row r="13" spans="1:6" ht="12.75">
      <c r="A13" s="1"/>
      <c r="B13" s="13" t="s">
        <v>5</v>
      </c>
      <c r="D13" s="5" t="s">
        <v>277</v>
      </c>
      <c r="E13" s="5" t="s">
        <v>276</v>
      </c>
      <c r="F13" s="5" t="s">
        <v>0</v>
      </c>
    </row>
    <row r="14" spans="1:6" ht="12.75">
      <c r="A14" s="1"/>
      <c r="B14" s="13">
        <f>(((($E14/25.4)*$F14)/$D14)+$F14)</f>
        <v>17.748031496062993</v>
      </c>
      <c r="D14" s="7">
        <v>0.02</v>
      </c>
      <c r="E14" s="7">
        <v>4</v>
      </c>
      <c r="F14" s="7">
        <v>2</v>
      </c>
    </row>
    <row r="15" spans="1:6" ht="12.75">
      <c r="A15" s="1"/>
      <c r="B15" s="13" t="s">
        <v>287</v>
      </c>
      <c r="D15" s="5" t="s">
        <v>288</v>
      </c>
      <c r="E15" s="5" t="s">
        <v>289</v>
      </c>
      <c r="F15" s="5" t="s">
        <v>290</v>
      </c>
    </row>
    <row r="16" spans="1:6" ht="12.75">
      <c r="A16" s="1"/>
      <c r="B16" s="13">
        <f>($D16*$E16)/$F16*25.4</f>
        <v>0.18333296666666668</v>
      </c>
      <c r="D16" s="7">
        <v>0.007874</v>
      </c>
      <c r="E16" s="7">
        <v>8.25</v>
      </c>
      <c r="F16" s="7">
        <v>9</v>
      </c>
    </row>
    <row r="17" spans="1:6" ht="12.75">
      <c r="A17" s="1"/>
      <c r="B17" s="13"/>
      <c r="D17" s="31"/>
      <c r="E17" s="31"/>
      <c r="F17" s="31"/>
    </row>
    <row r="18" spans="1:7" ht="12.75">
      <c r="A18" s="1"/>
      <c r="B18" s="13"/>
      <c r="D18" s="31"/>
      <c r="E18" s="31"/>
      <c r="F18" s="31"/>
      <c r="G18" s="5"/>
    </row>
    <row r="19" spans="1:6" ht="12.75">
      <c r="A19" s="1"/>
      <c r="B19" s="13"/>
      <c r="D19" s="31"/>
      <c r="E19" s="31"/>
      <c r="F19" s="31"/>
    </row>
    <row r="20" spans="1:2" ht="12.75">
      <c r="A20" s="1"/>
      <c r="B20" s="13"/>
    </row>
    <row r="21" spans="1:4" ht="12.75">
      <c r="A21" s="1"/>
      <c r="B21" s="13"/>
      <c r="D21" s="2" t="s">
        <v>306</v>
      </c>
    </row>
    <row r="22" spans="1:6" ht="12.75">
      <c r="A22" s="1"/>
      <c r="B22" s="13" t="s">
        <v>291</v>
      </c>
      <c r="D22" s="5" t="s">
        <v>292</v>
      </c>
      <c r="E22" s="5" t="s">
        <v>293</v>
      </c>
      <c r="F22" s="5" t="s">
        <v>294</v>
      </c>
    </row>
    <row r="23" spans="1:6" ht="12.75">
      <c r="A23" s="1"/>
      <c r="B23" s="10">
        <f>$D23*($E23/$F23)</f>
        <v>12.053333333333335</v>
      </c>
      <c r="D23" s="7">
        <v>22.6</v>
      </c>
      <c r="E23" s="7">
        <v>1.6</v>
      </c>
      <c r="F23" s="7">
        <v>3</v>
      </c>
    </row>
    <row r="24" spans="1:6" ht="12.75">
      <c r="A24" s="1"/>
      <c r="B24" s="10" t="s">
        <v>292</v>
      </c>
      <c r="D24" s="5" t="s">
        <v>294</v>
      </c>
      <c r="E24" s="5" t="s">
        <v>291</v>
      </c>
      <c r="F24" s="5" t="s">
        <v>293</v>
      </c>
    </row>
    <row r="25" spans="1:6" ht="12.75">
      <c r="A25" s="1"/>
      <c r="B25" s="10">
        <f>($D25*$E25)/$F25</f>
        <v>22.58823529411765</v>
      </c>
      <c r="D25" s="7">
        <v>96</v>
      </c>
      <c r="E25" s="7">
        <v>16</v>
      </c>
      <c r="F25" s="7">
        <f>96-(24+4)</f>
        <v>68</v>
      </c>
    </row>
    <row r="26" spans="1:6" ht="12.75">
      <c r="A26" s="1"/>
      <c r="B26" s="10" t="s">
        <v>294</v>
      </c>
      <c r="D26" s="5" t="s">
        <v>292</v>
      </c>
      <c r="E26" s="5" t="s">
        <v>293</v>
      </c>
      <c r="F26" s="5" t="s">
        <v>291</v>
      </c>
    </row>
    <row r="27" spans="1:6" ht="12.75">
      <c r="A27" s="1"/>
      <c r="B27" s="10">
        <f>($D27*$E27)/$F27</f>
        <v>840</v>
      </c>
      <c r="D27" s="7">
        <v>30</v>
      </c>
      <c r="E27" s="7">
        <f>24+4</f>
        <v>28</v>
      </c>
      <c r="F27" s="7">
        <v>1</v>
      </c>
    </row>
    <row r="28" spans="1:6" ht="12.75">
      <c r="A28" s="1"/>
      <c r="B28" s="10" t="s">
        <v>293</v>
      </c>
      <c r="D28" s="5" t="s">
        <v>294</v>
      </c>
      <c r="E28" s="5" t="s">
        <v>292</v>
      </c>
      <c r="F28" s="5" t="s">
        <v>291</v>
      </c>
    </row>
    <row r="29" spans="1:6" ht="12.75">
      <c r="A29" s="1"/>
      <c r="B29" s="10">
        <f>($D29*$F29)/$E29</f>
        <v>1.88125</v>
      </c>
      <c r="D29" s="7">
        <v>37.625</v>
      </c>
      <c r="E29" s="7">
        <v>20</v>
      </c>
      <c r="F29" s="7">
        <v>1</v>
      </c>
    </row>
    <row r="30" spans="1:6" ht="12.75">
      <c r="A30" s="1"/>
      <c r="B30" s="10"/>
      <c r="D30" s="5"/>
      <c r="E30" s="5"/>
      <c r="F30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3"/>
  <sheetViews>
    <sheetView showGridLines="0" showRowColHeaders="0" workbookViewId="0" topLeftCell="A1">
      <selection activeCell="F16" sqref="F16"/>
    </sheetView>
  </sheetViews>
  <sheetFormatPr defaultColWidth="9.00390625" defaultRowHeight="12.75"/>
  <cols>
    <col min="1" max="3" width="11.375" style="0" customWidth="1"/>
    <col min="4" max="5" width="17.00390625" style="0" customWidth="1"/>
    <col min="6" max="6" width="15.75390625" style="0" customWidth="1"/>
    <col min="7" max="16384" width="11.375" style="0" customWidth="1"/>
  </cols>
  <sheetData>
    <row r="2" spans="2:3" ht="12.75">
      <c r="B2" s="2" t="s">
        <v>82</v>
      </c>
      <c r="C2" s="2"/>
    </row>
    <row r="3" spans="3:7" ht="12.75">
      <c r="C3" s="2"/>
      <c r="G3" t="s">
        <v>83</v>
      </c>
    </row>
    <row r="12" spans="1:6" ht="12.75">
      <c r="A12" s="1"/>
      <c r="B12" s="10"/>
      <c r="D12" s="5"/>
      <c r="E12" s="5"/>
      <c r="F12" s="5"/>
    </row>
    <row r="13" spans="1:6" ht="12.75">
      <c r="A13" s="1"/>
      <c r="B13" s="10"/>
      <c r="D13" s="2" t="s">
        <v>134</v>
      </c>
      <c r="E13" s="5"/>
      <c r="F13" s="5"/>
    </row>
    <row r="14" spans="1:6" ht="12.75">
      <c r="A14" s="1"/>
      <c r="B14" s="10" t="s">
        <v>296</v>
      </c>
      <c r="D14" s="5" t="s">
        <v>297</v>
      </c>
      <c r="E14" s="5" t="s">
        <v>298</v>
      </c>
      <c r="F14" s="5" t="s">
        <v>299</v>
      </c>
    </row>
    <row r="15" spans="1:6" ht="12.75">
      <c r="A15" s="1"/>
      <c r="B15" s="6" t="s">
        <v>300</v>
      </c>
      <c r="D15" s="5" t="s">
        <v>301</v>
      </c>
      <c r="E15" s="5" t="s">
        <v>233</v>
      </c>
      <c r="F15" s="5" t="s">
        <v>302</v>
      </c>
    </row>
    <row r="16" spans="1:6" ht="12.75">
      <c r="A16" s="1"/>
      <c r="B16" s="10">
        <f>($D16*$F16)/$E16</f>
        <v>115.2</v>
      </c>
      <c r="D16" s="7">
        <v>144</v>
      </c>
      <c r="E16" s="7">
        <v>5</v>
      </c>
      <c r="F16" s="7">
        <v>4</v>
      </c>
    </row>
    <row r="17" spans="1:6" ht="12.75">
      <c r="A17" s="1"/>
      <c r="B17" s="5" t="s">
        <v>299</v>
      </c>
      <c r="D17" s="5" t="s">
        <v>298</v>
      </c>
      <c r="E17" s="10" t="s">
        <v>303</v>
      </c>
      <c r="F17" s="5" t="s">
        <v>297</v>
      </c>
    </row>
    <row r="18" spans="1:6" ht="12.75">
      <c r="A18" s="1"/>
      <c r="B18" s="5" t="s">
        <v>302</v>
      </c>
      <c r="D18" s="5" t="s">
        <v>233</v>
      </c>
      <c r="E18" s="6" t="s">
        <v>300</v>
      </c>
      <c r="F18" s="5" t="s">
        <v>301</v>
      </c>
    </row>
    <row r="19" spans="1:6" ht="12.75">
      <c r="A19" s="1"/>
      <c r="B19" s="10">
        <f>$D19*($E19/$F19)</f>
        <v>4</v>
      </c>
      <c r="D19" s="7">
        <v>12</v>
      </c>
      <c r="E19" s="7">
        <v>96</v>
      </c>
      <c r="F19" s="7">
        <v>288</v>
      </c>
    </row>
    <row r="20" spans="1:6" ht="12.75">
      <c r="A20" s="1"/>
      <c r="B20" t="s">
        <v>298</v>
      </c>
      <c r="D20" s="5" t="s">
        <v>297</v>
      </c>
      <c r="E20" s="5" t="s">
        <v>299</v>
      </c>
      <c r="F20" s="10" t="s">
        <v>303</v>
      </c>
    </row>
    <row r="21" spans="1:6" ht="12.75">
      <c r="A21" s="1"/>
      <c r="B21" t="s">
        <v>233</v>
      </c>
      <c r="D21" s="5" t="s">
        <v>301</v>
      </c>
      <c r="E21" s="5" t="s">
        <v>302</v>
      </c>
      <c r="F21" s="6" t="s">
        <v>300</v>
      </c>
    </row>
    <row r="22" spans="1:6" ht="12.75">
      <c r="A22" s="1"/>
      <c r="B22" s="10">
        <f>($D22*$E22)/$F22</f>
        <v>12</v>
      </c>
      <c r="D22" s="7">
        <v>288</v>
      </c>
      <c r="E22" s="7">
        <v>4</v>
      </c>
      <c r="F22" s="7">
        <v>96</v>
      </c>
    </row>
    <row r="23" spans="1:6" ht="12.75">
      <c r="A23" s="1"/>
      <c r="B23" s="10"/>
      <c r="D23" s="31"/>
      <c r="E23" s="31"/>
      <c r="F23" s="31"/>
    </row>
    <row r="24" spans="1:6" ht="12.75">
      <c r="A24" s="1"/>
      <c r="B24" s="10"/>
      <c r="D24" s="31"/>
      <c r="E24" s="31"/>
      <c r="F24" s="31"/>
    </row>
    <row r="25" spans="1:6" ht="12.75">
      <c r="A25" s="1"/>
      <c r="B25" s="10"/>
      <c r="D25" s="31"/>
      <c r="E25" s="31"/>
      <c r="F25" s="31"/>
    </row>
    <row r="26" spans="1:6" ht="12.75">
      <c r="A26" s="1"/>
      <c r="B26" s="10"/>
      <c r="D26" s="31"/>
      <c r="E26" s="31"/>
      <c r="F26" s="31"/>
    </row>
    <row r="27" spans="1:6" ht="12.75">
      <c r="A27" s="1"/>
      <c r="B27" s="10"/>
      <c r="D27" s="31"/>
      <c r="E27" s="31"/>
      <c r="F27" s="31"/>
    </row>
    <row r="28" spans="1:6" ht="12.75">
      <c r="A28" s="1"/>
      <c r="B28" s="10"/>
      <c r="D28" s="5"/>
      <c r="E28" s="5"/>
      <c r="F28" s="5"/>
    </row>
    <row r="29" spans="1:6" ht="12.75">
      <c r="A29" s="1"/>
      <c r="B29" s="10"/>
      <c r="D29" s="2" t="s">
        <v>135</v>
      </c>
      <c r="E29" s="5"/>
      <c r="F29" s="5"/>
    </row>
    <row r="30" spans="1:6" ht="12.75">
      <c r="A30" s="1"/>
      <c r="B30" s="10" t="s">
        <v>304</v>
      </c>
      <c r="D30" s="5" t="s">
        <v>242</v>
      </c>
      <c r="E30" s="5" t="s">
        <v>243</v>
      </c>
      <c r="F30" s="5" t="s">
        <v>295</v>
      </c>
    </row>
    <row r="31" spans="1:6" ht="12.75">
      <c r="A31" s="1"/>
      <c r="B31" s="6" t="s">
        <v>300</v>
      </c>
      <c r="D31" s="5" t="s">
        <v>244</v>
      </c>
      <c r="E31" s="5" t="s">
        <v>295</v>
      </c>
      <c r="F31" s="5" t="s">
        <v>245</v>
      </c>
    </row>
    <row r="32" spans="1:6" ht="12.75">
      <c r="A32" s="1"/>
      <c r="B32" s="10">
        <f>(D32/E32)*F32</f>
        <v>90</v>
      </c>
      <c r="D32" s="7">
        <v>72</v>
      </c>
      <c r="E32" s="7">
        <v>4</v>
      </c>
      <c r="F32" s="7">
        <v>5</v>
      </c>
    </row>
    <row r="33" spans="1:6" ht="12.75">
      <c r="A33" s="1"/>
      <c r="B33" s="10"/>
      <c r="D33" s="5"/>
      <c r="E33" s="5"/>
      <c r="F33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5"/>
  <sheetViews>
    <sheetView showGridLines="0" showRowColHeaders="0" workbookViewId="0" topLeftCell="A1">
      <selection activeCell="D17" sqref="D17"/>
    </sheetView>
  </sheetViews>
  <sheetFormatPr defaultColWidth="9.00390625" defaultRowHeight="12.75"/>
  <cols>
    <col min="1" max="3" width="11.375" style="0" customWidth="1"/>
    <col min="4" max="4" width="17.375" style="0" customWidth="1"/>
    <col min="5" max="6" width="16.875" style="0" customWidth="1"/>
    <col min="7" max="16384" width="11.375" style="0" customWidth="1"/>
  </cols>
  <sheetData>
    <row r="2" spans="2:3" ht="12.75">
      <c r="B2" s="2" t="s">
        <v>82</v>
      </c>
      <c r="C2" s="2"/>
    </row>
    <row r="3" spans="3:7" ht="12.75">
      <c r="C3" s="2"/>
      <c r="G3" t="s">
        <v>83</v>
      </c>
    </row>
    <row r="12" spans="1:6" s="40" customFormat="1" ht="15.75">
      <c r="A12" s="38"/>
      <c r="B12" s="39"/>
      <c r="D12" s="35" t="s">
        <v>251</v>
      </c>
      <c r="E12" s="35"/>
      <c r="F12" s="35"/>
    </row>
    <row r="13" spans="1:4" ht="12.75">
      <c r="A13" s="1"/>
      <c r="B13" s="18"/>
      <c r="D13" t="s">
        <v>147</v>
      </c>
    </row>
    <row r="14" spans="1:2" ht="12.75">
      <c r="A14" s="1"/>
      <c r="B14" s="18"/>
    </row>
    <row r="15" spans="1:6" ht="12.75">
      <c r="A15" s="1"/>
      <c r="B15" s="18" t="s">
        <v>148</v>
      </c>
      <c r="D15" s="5"/>
      <c r="E15" s="5"/>
      <c r="F15" s="5"/>
    </row>
    <row r="16" spans="1:6" ht="12.75">
      <c r="A16" s="1"/>
      <c r="B16" s="13" t="s">
        <v>149</v>
      </c>
      <c r="D16" s="5" t="s">
        <v>150</v>
      </c>
      <c r="E16" s="5" t="s">
        <v>260</v>
      </c>
      <c r="F16" s="5" t="s">
        <v>261</v>
      </c>
    </row>
    <row r="17" spans="1:6" ht="12.75">
      <c r="A17" s="1"/>
      <c r="B17" s="13">
        <f>($D17*$E17)/($F17+$D17)</f>
        <v>0.2737453338863542</v>
      </c>
      <c r="D17" s="7">
        <v>0.055</v>
      </c>
      <c r="E17" s="7">
        <v>60</v>
      </c>
      <c r="F17" s="7">
        <v>12</v>
      </c>
    </row>
    <row r="18" spans="1:6" ht="12.75">
      <c r="A18" s="1"/>
      <c r="B18" s="13"/>
      <c r="D18" s="31"/>
      <c r="E18" s="31"/>
      <c r="F18" s="31"/>
    </row>
    <row r="19" spans="1:6" ht="12.75">
      <c r="A19" s="1"/>
      <c r="B19" s="13"/>
      <c r="D19" s="31"/>
      <c r="E19" s="31"/>
      <c r="F19" s="31"/>
    </row>
    <row r="20" spans="1:6" ht="12.75">
      <c r="A20" s="1"/>
      <c r="B20" s="13"/>
      <c r="D20" s="31"/>
      <c r="E20" s="31"/>
      <c r="F20" s="31"/>
    </row>
    <row r="21" spans="1:6" ht="12.75">
      <c r="A21" s="1"/>
      <c r="B21" s="13"/>
      <c r="D21" s="31"/>
      <c r="E21" s="31"/>
      <c r="F21" s="31"/>
    </row>
    <row r="22" ht="12.75">
      <c r="A22" s="1"/>
    </row>
    <row r="23" spans="1:7" ht="12.75">
      <c r="A23" s="1"/>
      <c r="B23" s="18" t="s">
        <v>256</v>
      </c>
      <c r="D23" s="5"/>
      <c r="E23" s="5"/>
      <c r="F23" s="5"/>
      <c r="G23" s="19"/>
    </row>
    <row r="24" spans="1:7" ht="12.75">
      <c r="A24" s="1"/>
      <c r="B24" s="13" t="s">
        <v>252</v>
      </c>
      <c r="D24" s="5" t="s">
        <v>51</v>
      </c>
      <c r="E24" s="5" t="s">
        <v>52</v>
      </c>
      <c r="F24" t="s">
        <v>53</v>
      </c>
      <c r="G24" s="19" t="s">
        <v>54</v>
      </c>
    </row>
    <row r="25" spans="1:7" ht="12.75">
      <c r="A25" s="1"/>
      <c r="B25" s="13">
        <f>E25*((D25-G25)/(F25-G25))</f>
        <v>0.2403846153846154</v>
      </c>
      <c r="D25" s="7">
        <v>0.055</v>
      </c>
      <c r="E25" s="7">
        <v>0.625</v>
      </c>
      <c r="F25" s="7">
        <v>0.135</v>
      </c>
      <c r="G25" s="7">
        <v>0.005</v>
      </c>
    </row>
    <row r="26" spans="1:7" ht="12.75">
      <c r="A26" s="1"/>
      <c r="B26" s="13"/>
      <c r="D26" s="31"/>
      <c r="E26" s="31"/>
      <c r="F26" s="31"/>
      <c r="G26" s="31"/>
    </row>
    <row r="27" spans="1:7" ht="12.75">
      <c r="A27" s="1"/>
      <c r="B27" s="13"/>
      <c r="D27" s="31"/>
      <c r="E27" s="31"/>
      <c r="F27" s="31"/>
      <c r="G27" s="31"/>
    </row>
    <row r="28" spans="1:7" ht="12.75">
      <c r="A28" s="1"/>
      <c r="B28" s="13"/>
      <c r="D28" s="31"/>
      <c r="E28" s="31"/>
      <c r="F28" s="31"/>
      <c r="G28" s="31"/>
    </row>
    <row r="29" spans="1:7" ht="12.75">
      <c r="A29" s="1"/>
      <c r="B29" s="13"/>
      <c r="D29" s="31"/>
      <c r="E29" s="31"/>
      <c r="F29" s="31"/>
      <c r="G29" s="31"/>
    </row>
    <row r="30" spans="1:7" ht="12.75">
      <c r="A30" s="1"/>
      <c r="B30" s="13"/>
      <c r="D30" s="5"/>
      <c r="E30" s="5"/>
      <c r="F30" s="5"/>
      <c r="G30" s="5"/>
    </row>
    <row r="31" spans="1:7" ht="12.75">
      <c r="A31" s="1"/>
      <c r="B31" s="2" t="s">
        <v>55</v>
      </c>
      <c r="E31" s="5"/>
      <c r="F31" s="5"/>
      <c r="G31" s="5"/>
    </row>
    <row r="32" spans="1:7" ht="12.75">
      <c r="A32" s="1"/>
      <c r="B32" s="13" t="s">
        <v>56</v>
      </c>
      <c r="D32" s="5" t="s">
        <v>51</v>
      </c>
      <c r="E32" s="5" t="s">
        <v>57</v>
      </c>
      <c r="F32" s="5" t="s">
        <v>53</v>
      </c>
      <c r="G32" s="5" t="s">
        <v>261</v>
      </c>
    </row>
    <row r="33" spans="1:7" ht="12.75">
      <c r="A33" s="1"/>
      <c r="B33" s="13">
        <f>E33*(F33-D33)/(G33+D33)</f>
        <v>0.3948569058481958</v>
      </c>
      <c r="D33" s="7">
        <v>0.055</v>
      </c>
      <c r="E33" s="7">
        <v>59.5</v>
      </c>
      <c r="F33" s="7">
        <v>0.135</v>
      </c>
      <c r="G33" s="7">
        <v>12</v>
      </c>
    </row>
    <row r="34" spans="1:7" ht="12.75">
      <c r="A34" s="1"/>
      <c r="B34" s="13"/>
      <c r="D34" s="5"/>
      <c r="E34" s="5"/>
      <c r="F34" s="5"/>
      <c r="G34" s="5"/>
    </row>
    <row r="35" spans="1:7" ht="12.75">
      <c r="A35" s="1"/>
      <c r="B35" s="13"/>
      <c r="D35" s="5"/>
      <c r="E35" s="5"/>
      <c r="F35" s="5"/>
      <c r="G35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9"/>
  <sheetViews>
    <sheetView showGridLines="0" showRowColHeaders="0" workbookViewId="0" topLeftCell="A1">
      <selection activeCell="E39" sqref="E39"/>
    </sheetView>
  </sheetViews>
  <sheetFormatPr defaultColWidth="9.00390625" defaultRowHeight="12.75"/>
  <cols>
    <col min="1" max="1" width="11.375" style="0" customWidth="1"/>
    <col min="2" max="2" width="12.00390625" style="0" bestFit="1" customWidth="1"/>
    <col min="3" max="3" width="7.125" style="0" customWidth="1"/>
    <col min="4" max="4" width="20.625" style="0" customWidth="1"/>
    <col min="5" max="5" width="17.625" style="0" customWidth="1"/>
    <col min="6" max="6" width="17.00390625" style="0" customWidth="1"/>
    <col min="7" max="16384" width="11.375" style="0" customWidth="1"/>
  </cols>
  <sheetData>
    <row r="2" spans="2:3" ht="12.75">
      <c r="B2" s="2" t="s">
        <v>82</v>
      </c>
      <c r="C2" s="2"/>
    </row>
    <row r="3" spans="3:7" ht="12.75">
      <c r="C3" s="2"/>
      <c r="G3" t="s">
        <v>259</v>
      </c>
    </row>
    <row r="11" spans="1:6" ht="12.75">
      <c r="A11" s="1"/>
      <c r="D11" s="5"/>
      <c r="E11" s="5"/>
      <c r="F11" s="5"/>
    </row>
    <row r="12" spans="1:6" ht="12.75">
      <c r="A12" s="1"/>
      <c r="B12" s="10"/>
      <c r="D12" s="3" t="s">
        <v>43</v>
      </c>
      <c r="E12" s="5"/>
      <c r="F12" s="5"/>
    </row>
    <row r="13" spans="1:6" ht="12.75">
      <c r="A13" s="1"/>
      <c r="B13" s="10"/>
      <c r="D13" s="3" t="s">
        <v>13</v>
      </c>
      <c r="E13" s="5"/>
      <c r="F13" s="5"/>
    </row>
    <row r="14" spans="1:6" ht="12.75">
      <c r="A14" s="1"/>
      <c r="B14" s="10" t="s">
        <v>14</v>
      </c>
      <c r="D14" t="s">
        <v>15</v>
      </c>
      <c r="E14" s="5"/>
      <c r="F14" s="5"/>
    </row>
    <row r="15" spans="1:6" ht="12.75">
      <c r="A15" s="1"/>
      <c r="B15" s="10">
        <f>D15-(D15*0.15)</f>
        <v>1.9549999999999998</v>
      </c>
      <c r="D15" s="14">
        <v>2.3</v>
      </c>
      <c r="E15" s="5"/>
      <c r="F15" s="5"/>
    </row>
    <row r="16" spans="1:6" ht="12.75">
      <c r="A16" s="1"/>
      <c r="B16" s="10" t="s">
        <v>16</v>
      </c>
      <c r="D16" s="21" t="s">
        <v>17</v>
      </c>
      <c r="E16" s="5"/>
      <c r="F16" s="5"/>
    </row>
    <row r="17" spans="1:6" ht="12.75">
      <c r="A17" s="1"/>
      <c r="B17" s="10">
        <f>D15+(D15*0.3)</f>
        <v>2.9899999999999998</v>
      </c>
      <c r="E17" s="5"/>
      <c r="F17" s="5"/>
    </row>
    <row r="18" spans="1:2" ht="12.75">
      <c r="A18" s="1"/>
      <c r="B18" s="13"/>
    </row>
    <row r="22" ht="12.75">
      <c r="A22" s="1"/>
    </row>
    <row r="23" ht="12.75">
      <c r="A23" s="1"/>
    </row>
    <row r="24" spans="1:4" ht="12.75">
      <c r="A24" s="1"/>
      <c r="D24" s="2" t="s">
        <v>219</v>
      </c>
    </row>
    <row r="25" spans="1:9" ht="12.75">
      <c r="A25" s="1"/>
      <c r="B25" t="s">
        <v>86</v>
      </c>
      <c r="D25" t="s">
        <v>87</v>
      </c>
      <c r="E25" s="5" t="s">
        <v>88</v>
      </c>
      <c r="F25" t="s">
        <v>279</v>
      </c>
      <c r="I25" s="5" t="s">
        <v>266</v>
      </c>
    </row>
    <row r="26" spans="1:6" ht="12.75">
      <c r="A26" s="1"/>
      <c r="B26" s="6">
        <f>SQRT((D26*E26)/2)*(100/F26)</f>
        <v>2</v>
      </c>
      <c r="C26" s="5"/>
      <c r="D26" s="7">
        <v>0.005</v>
      </c>
      <c r="E26" s="7">
        <v>0.04</v>
      </c>
      <c r="F26" s="7">
        <v>0.5</v>
      </c>
    </row>
    <row r="27" spans="1:6" ht="12.75">
      <c r="A27" s="1"/>
      <c r="B27" t="s">
        <v>280</v>
      </c>
      <c r="D27" t="s">
        <v>88</v>
      </c>
      <c r="E27" s="5" t="s">
        <v>86</v>
      </c>
      <c r="F27" t="s">
        <v>279</v>
      </c>
    </row>
    <row r="28" spans="1:6" ht="12.75">
      <c r="A28" s="1"/>
      <c r="B28" s="23">
        <f>2*(E28^2)/((100/F28)^2*D28)</f>
        <v>0.005</v>
      </c>
      <c r="C28" s="5"/>
      <c r="D28" s="7">
        <v>0.04</v>
      </c>
      <c r="E28" s="7">
        <v>2</v>
      </c>
      <c r="F28" s="7">
        <v>0.5</v>
      </c>
    </row>
    <row r="29" spans="1:6" ht="12.75">
      <c r="A29" s="1"/>
      <c r="B29" t="s">
        <v>281</v>
      </c>
      <c r="D29" t="s">
        <v>87</v>
      </c>
      <c r="E29" s="5" t="s">
        <v>86</v>
      </c>
      <c r="F29" t="s">
        <v>279</v>
      </c>
    </row>
    <row r="30" spans="1:6" ht="12.75">
      <c r="A30" s="1"/>
      <c r="B30" s="23">
        <f>2*(E30^2)/((100/F30)^2*D30)</f>
        <v>0.04</v>
      </c>
      <c r="D30" s="7">
        <v>0.005</v>
      </c>
      <c r="E30" s="7">
        <v>2</v>
      </c>
      <c r="F30" s="7">
        <v>0.5</v>
      </c>
    </row>
    <row r="31" spans="1:6" ht="12.75">
      <c r="A31" s="1"/>
      <c r="B31" s="23"/>
      <c r="D31" s="5"/>
      <c r="E31" s="5"/>
      <c r="F31" s="5"/>
    </row>
    <row r="32" ht="12.75">
      <c r="A32" s="1"/>
    </row>
    <row r="37" spans="2:4" ht="12.75">
      <c r="B37" s="22" t="s">
        <v>93</v>
      </c>
      <c r="D37" s="2" t="s">
        <v>154</v>
      </c>
    </row>
    <row r="38" spans="2:9" ht="12.75">
      <c r="B38" t="s">
        <v>92</v>
      </c>
      <c r="D38" t="s">
        <v>94</v>
      </c>
      <c r="E38" s="5" t="s">
        <v>88</v>
      </c>
      <c r="I38" s="5" t="s">
        <v>265</v>
      </c>
    </row>
    <row r="39" spans="2:7" ht="12.75">
      <c r="B39" s="23">
        <f>POWER(((D39^2)*(E39^2)*(PI()/4)/(0.79^3*0.3)),1/3)</f>
        <v>0.005966446920760224</v>
      </c>
      <c r="D39" s="7">
        <v>0.01</v>
      </c>
      <c r="E39" s="7">
        <v>0.02</v>
      </c>
      <c r="F39" s="31"/>
      <c r="G39" s="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trotteej</cp:lastModifiedBy>
  <dcterms:created xsi:type="dcterms:W3CDTF">1999-03-23T20:36:43Z</dcterms:created>
  <dcterms:modified xsi:type="dcterms:W3CDTF">2000-12-18T07:42:37Z</dcterms:modified>
  <cp:category/>
  <cp:version/>
  <cp:contentType/>
  <cp:contentStatus/>
</cp:coreProperties>
</file>